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KHY\2025_10 Eksam sügis\Ülesanded\06_KVH\"/>
    </mc:Choice>
  </mc:AlternateContent>
  <xr:revisionPtr revIDLastSave="0" documentId="13_ncr:1_{0A79CAED-50DD-45F7-BFA5-2FFAE9A23D15}" xr6:coauthVersionLast="47" xr6:coauthVersionMax="47" xr10:uidLastSave="{00000000-0000-0000-0000-000000000000}"/>
  <bookViews>
    <workbookView xWindow="24225" yWindow="0" windowWidth="26085" windowHeight="209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E35" i="1"/>
  <c r="F35" i="1" s="1"/>
  <c r="G35" i="1" s="1"/>
  <c r="C35" i="1"/>
  <c r="B35" i="1"/>
  <c r="B60" i="1"/>
  <c r="K26" i="1"/>
  <c r="K19" i="1"/>
  <c r="B39" i="1"/>
  <c r="C39" i="1" s="1"/>
  <c r="D39" i="1" s="1"/>
  <c r="E39" i="1" s="1"/>
  <c r="G13" i="1"/>
  <c r="M12" i="1" s="1"/>
  <c r="F34" i="1"/>
  <c r="G34" i="1" s="1"/>
  <c r="B53" i="1" s="1"/>
  <c r="D34" i="1"/>
  <c r="E34" i="1"/>
  <c r="C34" i="1"/>
  <c r="D10" i="1"/>
  <c r="F4" i="1"/>
  <c r="E4" i="1"/>
  <c r="F8" i="1"/>
  <c r="E8" i="1"/>
  <c r="C23" i="1"/>
  <c r="B24" i="1"/>
  <c r="B38" i="1" s="1"/>
  <c r="B19" i="1"/>
  <c r="C20" i="1" s="1"/>
  <c r="B3" i="1"/>
  <c r="B18" i="1" s="1"/>
  <c r="C38" i="1" l="1"/>
  <c r="D38" i="1" s="1"/>
  <c r="E38" i="1" s="1"/>
  <c r="F38" i="1" s="1"/>
  <c r="G38" i="1" s="1"/>
  <c r="B57" i="1"/>
  <c r="B54" i="1"/>
  <c r="B13" i="1"/>
  <c r="C36" i="1" l="1"/>
  <c r="B55" i="1"/>
  <c r="B56" i="1" s="1"/>
  <c r="B58" i="1" s="1"/>
  <c r="B59" i="1" s="1"/>
  <c r="B36" i="1"/>
  <c r="B37" i="1" s="1"/>
  <c r="B40" i="1" s="1"/>
  <c r="M11" i="1"/>
  <c r="C37" i="1"/>
  <c r="C40" i="1" s="1"/>
  <c r="D36" i="1"/>
  <c r="B61" i="1" l="1"/>
  <c r="B62" i="1" s="1"/>
  <c r="B63" i="1" s="1"/>
  <c r="D37" i="1"/>
  <c r="D40" i="1" s="1"/>
  <c r="E36" i="1" l="1"/>
  <c r="E37" i="1" s="1"/>
  <c r="E40" i="1" s="1"/>
  <c r="B43" i="1"/>
  <c r="F36" i="1"/>
  <c r="F37" i="1" l="1"/>
  <c r="F40" i="1" s="1"/>
  <c r="C43" i="1"/>
  <c r="G36" i="1" l="1"/>
  <c r="G37" i="1"/>
  <c r="G40" i="1" s="1"/>
  <c r="F41" i="1" s="1"/>
  <c r="D43" i="1"/>
  <c r="E43" i="1" l="1"/>
  <c r="F42" i="1" l="1"/>
  <c r="F43" i="1" l="1"/>
  <c r="B44" i="1" l="1"/>
  <c r="B45" i="1" l="1"/>
  <c r="B46" i="1" s="1"/>
</calcChain>
</file>

<file path=xl/sharedStrings.xml><?xml version="1.0" encoding="utf-8"?>
<sst xmlns="http://schemas.openxmlformats.org/spreadsheetml/2006/main" count="90" uniqueCount="69">
  <si>
    <t>Hoone suletud netopind</t>
  </si>
  <si>
    <t>Korterite arv</t>
  </si>
  <si>
    <t>Esimene korrus</t>
  </si>
  <si>
    <t>Teine korrus</t>
  </si>
  <si>
    <t>PGI</t>
  </si>
  <si>
    <t>tk</t>
  </si>
  <si>
    <t>Vakantsus</t>
  </si>
  <si>
    <t>Omanikukulud - tegevuskulud ja kapitalikulud</t>
  </si>
  <si>
    <t>Tulumäärad</t>
  </si>
  <si>
    <t>Diskontomäär</t>
  </si>
  <si>
    <t>Kapitalisatsioonimäär</t>
  </si>
  <si>
    <t>EGI</t>
  </si>
  <si>
    <t>Omanikukulud - tegevus ja kapitalikulud</t>
  </si>
  <si>
    <t>NOI</t>
  </si>
  <si>
    <t>Lõpetav väärtus</t>
  </si>
  <si>
    <t>Müügikulud</t>
  </si>
  <si>
    <t>Rahavoog</t>
  </si>
  <si>
    <t>Turuväärtus</t>
  </si>
  <si>
    <t>m²</t>
  </si>
  <si>
    <t>Sarnaste varade puhul on müügikulu olnud</t>
  </si>
  <si>
    <t>Ümardatud turuväärtus</t>
  </si>
  <si>
    <t>Hinnatava vara müügiperiood on praeguses turusituatsioonis kuni 12 kuud.</t>
  </si>
  <si>
    <t>Hindamistulemuse täpsus on tavapärane ±10%.</t>
  </si>
  <si>
    <r>
      <t>€/SNPm</t>
    </r>
    <r>
      <rPr>
        <sz val="11"/>
        <color theme="1"/>
        <rFont val="Calibri"/>
        <family val="2"/>
        <charset val="186"/>
      </rPr>
      <t>²</t>
    </r>
  </si>
  <si>
    <t>Kolmas korrus</t>
  </si>
  <si>
    <t>Neljas korrus</t>
  </si>
  <si>
    <t>Viies korrus</t>
  </si>
  <si>
    <t>2-toalised</t>
  </si>
  <si>
    <t>Üüritulu</t>
  </si>
  <si>
    <t>EUR/kuus</t>
  </si>
  <si>
    <t>üüritud korterite arv</t>
  </si>
  <si>
    <t>vakantsus</t>
  </si>
  <si>
    <t>10-13% turul</t>
  </si>
  <si>
    <t>EUR/tk</t>
  </si>
  <si>
    <t>TURG</t>
  </si>
  <si>
    <t>THI</t>
  </si>
  <si>
    <t>indekseerimine</t>
  </si>
  <si>
    <t>pikaajaline</t>
  </si>
  <si>
    <t>parkimine</t>
  </si>
  <si>
    <t xml:space="preserve">   neist üüritud</t>
  </si>
  <si>
    <t xml:space="preserve">   üüritulu parkimiselt</t>
  </si>
  <si>
    <t>tegevuskulud</t>
  </si>
  <si>
    <t>kapitalikulud</t>
  </si>
  <si>
    <t>EUR/m2</t>
  </si>
  <si>
    <t>Servituuditasu</t>
  </si>
  <si>
    <t>tähtaeg 29.09.2028, 4.a</t>
  </si>
  <si>
    <t>Valik</t>
  </si>
  <si>
    <t>290-310</t>
  </si>
  <si>
    <t>tulude kasv</t>
  </si>
  <si>
    <t>Valin tegeliku keskmise üürimäära, kuna arvestades 1. ja 5. korruse kõrgemat turu taset, siis hoone tervikuna jääb turu tasemele</t>
  </si>
  <si>
    <t>80-90</t>
  </si>
  <si>
    <t>valin tegeliku, vastab turu tasemele</t>
  </si>
  <si>
    <t>valin turu keskmise taseme alates 2. a</t>
  </si>
  <si>
    <t>servituuditasu</t>
  </si>
  <si>
    <t>Esimene aasta on vakantsus kõrgem</t>
  </si>
  <si>
    <t>Edaspidiseks arvestan vakantsuseks turu keskmise taseme, turg 10-13%</t>
  </si>
  <si>
    <t>Riskivaba</t>
  </si>
  <si>
    <t>Riskilisa</t>
  </si>
  <si>
    <t>Disk.määr</t>
  </si>
  <si>
    <t>kap.määr täna</t>
  </si>
  <si>
    <t>Kap.määr 5. a</t>
  </si>
  <si>
    <t>Hinnatavale varale sarnaste varade puhul on puhta tegevustulu ja müügihinna suhe viimastes tehingutes olnud keskmiselt ca 5%.</t>
  </si>
  <si>
    <t xml:space="preserve">
Kapitalisatsioonimäära tõusu on 3-4 aasta pärast oodata 0,75% baasiprotsendi võrra ja see jääb oodatavalt sellisele tasemele vähemalt kolmeks järgnevaks aastaks.</t>
  </si>
  <si>
    <t>1) Diskonteeritud rahavoogude meetod</t>
  </si>
  <si>
    <t>2) Tulude kapitaliseerimise meetod</t>
  </si>
  <si>
    <t>järelejäänud servituuditasu</t>
  </si>
  <si>
    <t>Turuväärtus võttes arvesse servituuditasu</t>
  </si>
  <si>
    <r>
      <t>Hinnatava vara turuväärtus väärtuse kuupäeva seisuga on 5 260 000 € (1 096 €/m</t>
    </r>
    <r>
      <rPr>
        <sz val="11"/>
        <color theme="1"/>
        <rFont val="Calibri"/>
        <family val="2"/>
        <charset val="186"/>
      </rPr>
      <t>²</t>
    </r>
    <r>
      <rPr>
        <sz val="11"/>
        <color theme="1"/>
        <rFont val="Arial"/>
        <family val="2"/>
        <charset val="186"/>
      </rPr>
      <t>). Leitud turuväärtus ei sisalda käibemaksu.</t>
    </r>
  </si>
  <si>
    <r>
      <t>Hinnatava vara turuväärtus väärtuse kuupäeva seisuga on 4 850 000 € (1 010 €/m</t>
    </r>
    <r>
      <rPr>
        <sz val="11"/>
        <color theme="1"/>
        <rFont val="Calibri"/>
        <family val="2"/>
        <charset val="186"/>
      </rPr>
      <t>²</t>
    </r>
    <r>
      <rPr>
        <sz val="11"/>
        <color theme="1"/>
        <rFont val="Arial"/>
        <family val="2"/>
        <charset val="186"/>
      </rPr>
      <t>). Leitud turuväärtus ei sisalda käibemaksu.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</si>
</sst>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%"/>
    <numFmt numFmtId="165" formatCode="_-* #,##0\ &quot;€&quot;_-;\-* #,##0\ &quot;€&quot;_-;_-* &quot;-&quot;??\ &quot;€&quot;_-;_-@_-"/>
  </numFmts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11"/>
      <name val="Arial"/>
      <family val="2"/>
    </font>
    <font>
      <sz val="11"/>
      <color theme="1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1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0" borderId="0" xfId="0" applyFont="1"/>
    <xf numFmtId="3" fontId="1" fillId="0" borderId="0" xfId="0" applyNumberFormat="1" applyFont="1"/>
    <xf numFmtId="9" fontId="1" fillId="0" borderId="0" xfId="0" applyNumberFormat="1" applyFont="1"/>
    <xf numFmtId="10" fontId="1" fillId="0" borderId="0" xfId="0" applyNumberFormat="1" applyFont="1"/>
    <xf numFmtId="3" fontId="1" fillId="2" borderId="0" xfId="0" applyNumberFormat="1" applyFont="1" applyFill="1"/>
    <xf numFmtId="3" fontId="1" fillId="0" borderId="0" xfId="0" applyNumberFormat="1" applyFont="1" applyAlignment="1">
      <alignment horizontal="right" vertical="center"/>
    </xf>
    <xf numFmtId="3" fontId="1" fillId="2" borderId="0" xfId="0" applyNumberFormat="1" applyFont="1" applyFill="1" applyAlignment="1">
      <alignment horizontal="right" vertical="center"/>
    </xf>
    <xf numFmtId="1" fontId="1" fillId="0" borderId="0" xfId="0" applyNumberFormat="1" applyFont="1"/>
    <xf numFmtId="0" fontId="3" fillId="0" borderId="0" xfId="0" applyFont="1"/>
    <xf numFmtId="164" fontId="1" fillId="0" borderId="0" xfId="2" applyNumberFormat="1" applyFont="1"/>
    <xf numFmtId="0" fontId="6" fillId="0" borderId="0" xfId="0" applyFont="1"/>
    <xf numFmtId="4" fontId="1" fillId="0" borderId="0" xfId="0" applyNumberFormat="1" applyFont="1"/>
    <xf numFmtId="0" fontId="2" fillId="0" borderId="0" xfId="0" applyFont="1"/>
    <xf numFmtId="10" fontId="1" fillId="0" borderId="0" xfId="2" applyNumberFormat="1" applyFont="1"/>
    <xf numFmtId="0" fontId="7" fillId="0" borderId="0" xfId="0" applyFont="1"/>
    <xf numFmtId="10" fontId="7" fillId="0" borderId="0" xfId="2" applyNumberFormat="1" applyFont="1"/>
    <xf numFmtId="164" fontId="7" fillId="0" borderId="0" xfId="0" applyNumberFormat="1" applyFont="1"/>
    <xf numFmtId="165" fontId="1" fillId="0" borderId="0" xfId="1" applyNumberFormat="1" applyFont="1"/>
    <xf numFmtId="165" fontId="1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6"/>
  <sheetViews>
    <sheetView tabSelected="1" topLeftCell="A18" workbookViewId="0">
      <selection activeCell="G60" sqref="G60"/>
    </sheetView>
  </sheetViews>
  <sheetFormatPr defaultRowHeight="14.25" x14ac:dyDescent="0.2"/>
  <cols>
    <col min="1" max="1" width="37.85546875" style="3" customWidth="1"/>
    <col min="2" max="2" width="20.28515625" style="3" customWidth="1"/>
    <col min="3" max="3" width="14.42578125" style="3" customWidth="1"/>
    <col min="4" max="4" width="13" style="3" customWidth="1"/>
    <col min="5" max="5" width="12.42578125" style="3" customWidth="1"/>
    <col min="6" max="7" width="14.7109375" style="3" customWidth="1"/>
    <col min="8" max="8" width="23.42578125" style="3" customWidth="1"/>
    <col min="9" max="9" width="14.7109375" style="3" customWidth="1"/>
    <col min="10" max="10" width="27.140625" style="3" customWidth="1"/>
    <col min="11" max="11" width="23" style="3" customWidth="1"/>
    <col min="12" max="12" width="23.85546875" style="3" bestFit="1" customWidth="1"/>
    <col min="13" max="13" width="11" style="3" bestFit="1" customWidth="1"/>
    <col min="14" max="14" width="19.140625" style="3" bestFit="1" customWidth="1"/>
    <col min="15" max="15" width="13.7109375" style="3" customWidth="1"/>
    <col min="16" max="16" width="9.140625" style="3"/>
    <col min="17" max="17" width="17.7109375" style="3" customWidth="1"/>
    <col min="18" max="20" width="9.140625" style="3"/>
    <col min="21" max="21" width="13.42578125" style="3" customWidth="1"/>
    <col min="22" max="16384" width="9.140625" style="3"/>
  </cols>
  <sheetData>
    <row r="1" spans="1:22" ht="15" x14ac:dyDescent="0.25">
      <c r="A1" s="13" t="s">
        <v>63</v>
      </c>
    </row>
    <row r="2" spans="1:22" ht="15" x14ac:dyDescent="0.25">
      <c r="A2" s="3" t="s">
        <v>0</v>
      </c>
      <c r="B2" s="3">
        <v>4800</v>
      </c>
      <c r="C2" s="3" t="s">
        <v>18</v>
      </c>
      <c r="F2" s="13" t="s">
        <v>34</v>
      </c>
      <c r="G2" s="13" t="s">
        <v>46</v>
      </c>
      <c r="J2" s="1"/>
    </row>
    <row r="3" spans="1:22" x14ac:dyDescent="0.2">
      <c r="A3" s="3" t="s">
        <v>1</v>
      </c>
      <c r="B3" s="3">
        <f>SUM(B4:B8)</f>
        <v>75</v>
      </c>
      <c r="C3" s="3" t="s">
        <v>27</v>
      </c>
      <c r="G3" s="22" t="s">
        <v>49</v>
      </c>
      <c r="H3" s="22"/>
    </row>
    <row r="4" spans="1:22" x14ac:dyDescent="0.2">
      <c r="A4" s="3" t="s">
        <v>2</v>
      </c>
      <c r="B4" s="3">
        <v>15</v>
      </c>
      <c r="E4" s="3">
        <f>290*1.1</f>
        <v>319</v>
      </c>
      <c r="F4" s="3">
        <f>310*1.1</f>
        <v>341</v>
      </c>
      <c r="G4" s="22"/>
      <c r="H4" s="22"/>
    </row>
    <row r="5" spans="1:22" ht="15" x14ac:dyDescent="0.25">
      <c r="A5" s="3" t="s">
        <v>3</v>
      </c>
      <c r="B5" s="3">
        <v>15</v>
      </c>
      <c r="F5" s="3" t="s">
        <v>47</v>
      </c>
      <c r="G5" s="22"/>
      <c r="H5" s="22"/>
      <c r="Q5" s="15"/>
    </row>
    <row r="6" spans="1:22" x14ac:dyDescent="0.2">
      <c r="A6" s="3" t="s">
        <v>24</v>
      </c>
      <c r="B6" s="3">
        <v>15</v>
      </c>
      <c r="F6" s="3" t="s">
        <v>47</v>
      </c>
      <c r="G6" s="22"/>
      <c r="H6" s="22"/>
    </row>
    <row r="7" spans="1:22" x14ac:dyDescent="0.2">
      <c r="A7" s="3" t="s">
        <v>25</v>
      </c>
      <c r="B7" s="3">
        <v>15</v>
      </c>
      <c r="F7" s="3" t="s">
        <v>47</v>
      </c>
      <c r="G7" s="22"/>
      <c r="H7" s="22"/>
      <c r="V7" s="6"/>
    </row>
    <row r="8" spans="1:22" x14ac:dyDescent="0.2">
      <c r="A8" s="3" t="s">
        <v>26</v>
      </c>
      <c r="B8" s="3">
        <v>15</v>
      </c>
      <c r="E8" s="3">
        <f>290*1.1</f>
        <v>319</v>
      </c>
      <c r="F8" s="3">
        <f>310*1.1</f>
        <v>341</v>
      </c>
      <c r="G8" s="22"/>
      <c r="H8" s="22"/>
    </row>
    <row r="9" spans="1:22" x14ac:dyDescent="0.2">
      <c r="G9" s="22"/>
      <c r="H9" s="22"/>
    </row>
    <row r="10" spans="1:22" ht="15" x14ac:dyDescent="0.25">
      <c r="A10" s="1" t="s">
        <v>28</v>
      </c>
      <c r="B10" s="3">
        <v>20480</v>
      </c>
      <c r="C10" s="3" t="s">
        <v>29</v>
      </c>
      <c r="D10" s="3">
        <f>B10/B11</f>
        <v>320</v>
      </c>
      <c r="E10" s="3" t="s">
        <v>33</v>
      </c>
      <c r="F10" s="3" t="s">
        <v>47</v>
      </c>
      <c r="G10" s="22"/>
      <c r="H10" s="22"/>
      <c r="J10" s="1" t="s">
        <v>6</v>
      </c>
    </row>
    <row r="11" spans="1:22" x14ac:dyDescent="0.2">
      <c r="A11" s="3" t="s">
        <v>30</v>
      </c>
      <c r="B11" s="3">
        <v>64</v>
      </c>
      <c r="C11" s="3" t="s">
        <v>5</v>
      </c>
      <c r="G11" s="22"/>
      <c r="H11" s="22"/>
      <c r="J11" s="3" t="s">
        <v>54</v>
      </c>
      <c r="M11" s="5">
        <f>B13</f>
        <v>0.14666666666666661</v>
      </c>
    </row>
    <row r="12" spans="1:22" ht="15" customHeight="1" x14ac:dyDescent="0.2">
      <c r="H12" s="23" t="s">
        <v>52</v>
      </c>
      <c r="J12" s="3" t="s">
        <v>55</v>
      </c>
      <c r="M12" s="6">
        <f>G13</f>
        <v>0.115</v>
      </c>
      <c r="V12" s="5"/>
    </row>
    <row r="13" spans="1:22" x14ac:dyDescent="0.2">
      <c r="A13" s="3" t="s">
        <v>31</v>
      </c>
      <c r="B13" s="12">
        <f>1-B11/B3</f>
        <v>0.14666666666666661</v>
      </c>
      <c r="F13" s="3" t="s">
        <v>32</v>
      </c>
      <c r="G13" s="16">
        <f>(10%+13%)/2</f>
        <v>0.115</v>
      </c>
      <c r="H13" s="23"/>
      <c r="P13" s="5"/>
    </row>
    <row r="14" spans="1:22" x14ac:dyDescent="0.2">
      <c r="A14" s="3" t="s">
        <v>36</v>
      </c>
      <c r="B14" s="3" t="s">
        <v>35</v>
      </c>
      <c r="F14" s="3" t="s">
        <v>35</v>
      </c>
      <c r="H14" s="23"/>
    </row>
    <row r="15" spans="1:22" ht="15" x14ac:dyDescent="0.25">
      <c r="A15" s="3">
        <v>2024</v>
      </c>
      <c r="B15" s="3">
        <v>2025</v>
      </c>
      <c r="C15" s="3">
        <v>2026</v>
      </c>
      <c r="D15" s="3">
        <v>2027</v>
      </c>
      <c r="E15" s="3" t="s">
        <v>37</v>
      </c>
      <c r="J15" s="1" t="s">
        <v>8</v>
      </c>
    </row>
    <row r="16" spans="1:22" ht="15" x14ac:dyDescent="0.25">
      <c r="A16" s="6">
        <v>3.5000000000000003E-2</v>
      </c>
      <c r="B16" s="6">
        <v>5.3999999999999999E-2</v>
      </c>
      <c r="C16" s="6">
        <v>3.2000000000000001E-2</v>
      </c>
      <c r="D16" s="6">
        <v>2.8000000000000001E-2</v>
      </c>
      <c r="E16" s="6">
        <v>0.02</v>
      </c>
      <c r="J16" s="1" t="s">
        <v>9</v>
      </c>
      <c r="K16" s="11"/>
    </row>
    <row r="17" spans="1:15" x14ac:dyDescent="0.2">
      <c r="J17" s="17" t="s">
        <v>56</v>
      </c>
      <c r="K17" s="19">
        <v>0.05</v>
      </c>
    </row>
    <row r="18" spans="1:15" x14ac:dyDescent="0.2">
      <c r="A18" s="3" t="s">
        <v>38</v>
      </c>
      <c r="B18" s="3">
        <f>B3</f>
        <v>75</v>
      </c>
      <c r="C18" s="3" t="s">
        <v>5</v>
      </c>
      <c r="J18" s="17" t="s">
        <v>57</v>
      </c>
      <c r="K18" s="19">
        <v>0.02</v>
      </c>
      <c r="L18" s="6"/>
      <c r="M18" s="11"/>
    </row>
    <row r="19" spans="1:15" x14ac:dyDescent="0.2">
      <c r="A19" s="3" t="s">
        <v>39</v>
      </c>
      <c r="B19" s="3">
        <f>B11</f>
        <v>64</v>
      </c>
      <c r="C19" s="3" t="s">
        <v>5</v>
      </c>
      <c r="J19" s="17" t="s">
        <v>58</v>
      </c>
      <c r="K19" s="18">
        <f>(1+K18)*(1+K17)-1</f>
        <v>7.1000000000000174E-2</v>
      </c>
      <c r="L19" s="5"/>
    </row>
    <row r="20" spans="1:15" x14ac:dyDescent="0.2">
      <c r="A20" s="3" t="s">
        <v>40</v>
      </c>
      <c r="B20" s="3">
        <v>5120</v>
      </c>
      <c r="C20" s="3">
        <f>B20/B19</f>
        <v>80</v>
      </c>
      <c r="D20" s="3" t="s">
        <v>33</v>
      </c>
      <c r="F20" s="3" t="s">
        <v>50</v>
      </c>
      <c r="G20" s="3" t="s">
        <v>51</v>
      </c>
      <c r="K20" s="6"/>
    </row>
    <row r="21" spans="1:15" ht="15" x14ac:dyDescent="0.25">
      <c r="J21" s="1" t="s">
        <v>10</v>
      </c>
    </row>
    <row r="22" spans="1:15" ht="15" x14ac:dyDescent="0.25">
      <c r="A22" s="1" t="s">
        <v>7</v>
      </c>
      <c r="J22" s="1"/>
    </row>
    <row r="23" spans="1:15" x14ac:dyDescent="0.2">
      <c r="A23" s="3" t="s">
        <v>41</v>
      </c>
      <c r="B23" s="3">
        <v>3312</v>
      </c>
      <c r="C23" s="3">
        <f>B23/B2</f>
        <v>0.69</v>
      </c>
      <c r="D23" s="3" t="s">
        <v>43</v>
      </c>
      <c r="J23" s="3" t="s">
        <v>61</v>
      </c>
    </row>
    <row r="24" spans="1:15" x14ac:dyDescent="0.2">
      <c r="A24" s="3" t="s">
        <v>42</v>
      </c>
      <c r="B24" s="8">
        <f>C24*B2</f>
        <v>1200</v>
      </c>
      <c r="C24" s="14">
        <v>0.25</v>
      </c>
      <c r="D24" s="3" t="s">
        <v>43</v>
      </c>
      <c r="J24" s="3" t="s">
        <v>59</v>
      </c>
      <c r="K24" s="6">
        <v>0.05</v>
      </c>
    </row>
    <row r="25" spans="1:15" x14ac:dyDescent="0.2">
      <c r="B25" s="8"/>
      <c r="C25" s="4"/>
      <c r="J25" s="3" t="s">
        <v>62</v>
      </c>
    </row>
    <row r="26" spans="1:15" x14ac:dyDescent="0.2">
      <c r="A26" s="2" t="s">
        <v>44</v>
      </c>
      <c r="B26" s="9">
        <v>520</v>
      </c>
      <c r="C26" s="7" t="s">
        <v>29</v>
      </c>
      <c r="D26" s="3" t="s">
        <v>45</v>
      </c>
      <c r="J26" s="3" t="s">
        <v>60</v>
      </c>
      <c r="K26" s="6">
        <f>K24+0.75%</f>
        <v>5.7500000000000002E-2</v>
      </c>
    </row>
    <row r="27" spans="1:15" x14ac:dyDescent="0.2">
      <c r="B27" s="8"/>
      <c r="C27" s="4"/>
      <c r="J27" s="3" t="s">
        <v>19</v>
      </c>
      <c r="M27" s="5">
        <v>0.02</v>
      </c>
      <c r="O27" s="6"/>
    </row>
    <row r="28" spans="1:15" x14ac:dyDescent="0.2">
      <c r="O28" s="6"/>
    </row>
    <row r="29" spans="1:15" x14ac:dyDescent="0.2">
      <c r="B29" s="10"/>
      <c r="C29" s="4"/>
    </row>
    <row r="30" spans="1:15" x14ac:dyDescent="0.2">
      <c r="B30" s="4"/>
      <c r="C30" s="4"/>
    </row>
    <row r="33" spans="1:9" x14ac:dyDescent="0.2">
      <c r="B33" s="3">
        <v>1</v>
      </c>
      <c r="C33" s="3">
        <v>2</v>
      </c>
      <c r="D33" s="3">
        <v>3</v>
      </c>
      <c r="E33" s="3">
        <v>4</v>
      </c>
      <c r="F33" s="3">
        <v>5</v>
      </c>
      <c r="G33" s="3">
        <v>6</v>
      </c>
    </row>
    <row r="34" spans="1:9" x14ac:dyDescent="0.2">
      <c r="A34" s="3" t="s">
        <v>48</v>
      </c>
      <c r="B34" s="5">
        <v>0</v>
      </c>
      <c r="C34" s="6">
        <f>B16</f>
        <v>5.3999999999999999E-2</v>
      </c>
      <c r="D34" s="6">
        <f t="shared" ref="D34:E34" si="0">C16</f>
        <v>3.2000000000000001E-2</v>
      </c>
      <c r="E34" s="6">
        <f t="shared" si="0"/>
        <v>2.8000000000000001E-2</v>
      </c>
      <c r="F34" s="6">
        <f>E16</f>
        <v>0.02</v>
      </c>
      <c r="G34" s="6">
        <f>F34</f>
        <v>0.02</v>
      </c>
    </row>
    <row r="35" spans="1:9" x14ac:dyDescent="0.2">
      <c r="A35" s="3" t="s">
        <v>4</v>
      </c>
      <c r="B35" s="20">
        <f>D10*B3*12+B18*C20*12</f>
        <v>360000</v>
      </c>
      <c r="C35" s="20">
        <f>B35*(1+C34)</f>
        <v>379440</v>
      </c>
      <c r="D35" s="20">
        <f t="shared" ref="D35:G35" si="1">C35*(1+D34)</f>
        <v>391582.08</v>
      </c>
      <c r="E35" s="20">
        <f t="shared" si="1"/>
        <v>402546.37824000005</v>
      </c>
      <c r="F35" s="20">
        <f t="shared" si="1"/>
        <v>410597.30580480007</v>
      </c>
      <c r="G35" s="20">
        <f t="shared" si="1"/>
        <v>418809.25192089606</v>
      </c>
      <c r="H35" s="4"/>
      <c r="I35" s="4"/>
    </row>
    <row r="36" spans="1:9" x14ac:dyDescent="0.2">
      <c r="A36" s="3" t="s">
        <v>6</v>
      </c>
      <c r="B36" s="20">
        <f>B35*-B13</f>
        <v>-52799.999999999978</v>
      </c>
      <c r="C36" s="20">
        <f>C35*-$G$13</f>
        <v>-43635.6</v>
      </c>
      <c r="D36" s="20">
        <f t="shared" ref="D36:G36" si="2">D35*-$G$13</f>
        <v>-45031.939200000001</v>
      </c>
      <c r="E36" s="20">
        <f t="shared" si="2"/>
        <v>-46292.833497600004</v>
      </c>
      <c r="F36" s="20">
        <f t="shared" si="2"/>
        <v>-47218.690167552013</v>
      </c>
      <c r="G36" s="20">
        <f t="shared" si="2"/>
        <v>-48163.063970903051</v>
      </c>
      <c r="H36" s="4"/>
      <c r="I36" s="4"/>
    </row>
    <row r="37" spans="1:9" x14ac:dyDescent="0.2">
      <c r="A37" s="3" t="s">
        <v>11</v>
      </c>
      <c r="B37" s="20">
        <f t="shared" ref="B37:G37" si="3">SUM(B35:B36)</f>
        <v>307200</v>
      </c>
      <c r="C37" s="20">
        <f t="shared" si="3"/>
        <v>335804.4</v>
      </c>
      <c r="D37" s="20">
        <f t="shared" si="3"/>
        <v>346550.14079999999</v>
      </c>
      <c r="E37" s="20">
        <f t="shared" si="3"/>
        <v>356253.54474240006</v>
      </c>
      <c r="F37" s="20">
        <f t="shared" si="3"/>
        <v>363378.61563724803</v>
      </c>
      <c r="G37" s="20">
        <f t="shared" si="3"/>
        <v>370646.18794999301</v>
      </c>
      <c r="H37" s="4"/>
      <c r="I37" s="4"/>
    </row>
    <row r="38" spans="1:9" x14ac:dyDescent="0.2">
      <c r="A38" s="3" t="s">
        <v>12</v>
      </c>
      <c r="B38" s="20">
        <f>-(B23+B24)*12</f>
        <v>-54144</v>
      </c>
      <c r="C38" s="20">
        <f>B38*(1+C34)</f>
        <v>-57067.776000000005</v>
      </c>
      <c r="D38" s="20">
        <f t="shared" ref="D38:G38" si="4">C38*(1+D34)</f>
        <v>-58893.944832000008</v>
      </c>
      <c r="E38" s="20">
        <f t="shared" si="4"/>
        <v>-60542.975287296009</v>
      </c>
      <c r="F38" s="20">
        <f t="shared" si="4"/>
        <v>-61753.834793041933</v>
      </c>
      <c r="G38" s="20">
        <f t="shared" si="4"/>
        <v>-62988.91148890277</v>
      </c>
      <c r="H38" s="4"/>
      <c r="I38" s="4"/>
    </row>
    <row r="39" spans="1:9" x14ac:dyDescent="0.2">
      <c r="A39" s="3" t="s">
        <v>53</v>
      </c>
      <c r="B39" s="20">
        <f>-B26*12</f>
        <v>-6240</v>
      </c>
      <c r="C39" s="20">
        <f>B39</f>
        <v>-6240</v>
      </c>
      <c r="D39" s="20">
        <f>C39</f>
        <v>-6240</v>
      </c>
      <c r="E39" s="20">
        <f>D39</f>
        <v>-6240</v>
      </c>
      <c r="F39" s="20"/>
      <c r="G39" s="20"/>
      <c r="H39" s="4"/>
      <c r="I39" s="4"/>
    </row>
    <row r="40" spans="1:9" x14ac:dyDescent="0.2">
      <c r="A40" s="3" t="s">
        <v>13</v>
      </c>
      <c r="B40" s="20">
        <f>SUM(B37:B39)</f>
        <v>246816</v>
      </c>
      <c r="C40" s="20">
        <f t="shared" ref="C40:G40" si="5">SUM(C37:C39)</f>
        <v>272496.62400000001</v>
      </c>
      <c r="D40" s="20">
        <f t="shared" si="5"/>
        <v>281416.19596799999</v>
      </c>
      <c r="E40" s="20">
        <f t="shared" si="5"/>
        <v>289470.56945510407</v>
      </c>
      <c r="F40" s="20">
        <f t="shared" si="5"/>
        <v>301624.78084420611</v>
      </c>
      <c r="G40" s="20">
        <f t="shared" si="5"/>
        <v>307657.27646109025</v>
      </c>
      <c r="H40" s="4"/>
      <c r="I40" s="4"/>
    </row>
    <row r="41" spans="1:9" x14ac:dyDescent="0.2">
      <c r="A41" s="3" t="s">
        <v>14</v>
      </c>
      <c r="B41" s="20"/>
      <c r="C41" s="20"/>
      <c r="D41" s="20"/>
      <c r="E41" s="20"/>
      <c r="F41" s="20">
        <f>G40/K26</f>
        <v>5350561.3297580909</v>
      </c>
      <c r="G41" s="20"/>
      <c r="H41" s="4"/>
      <c r="I41" s="4"/>
    </row>
    <row r="42" spans="1:9" x14ac:dyDescent="0.2">
      <c r="A42" s="3" t="s">
        <v>15</v>
      </c>
      <c r="B42" s="20"/>
      <c r="C42" s="20"/>
      <c r="D42" s="20"/>
      <c r="E42" s="20"/>
      <c r="F42" s="20">
        <f>F41*-$M$27</f>
        <v>-107011.22659516182</v>
      </c>
      <c r="G42" s="20"/>
      <c r="H42" s="4"/>
      <c r="I42" s="4"/>
    </row>
    <row r="43" spans="1:9" x14ac:dyDescent="0.2">
      <c r="A43" s="3" t="s">
        <v>16</v>
      </c>
      <c r="B43" s="20">
        <f>SUM(B40:B42)</f>
        <v>246816</v>
      </c>
      <c r="C43" s="20">
        <f>SUM(C40:C42)</f>
        <v>272496.62400000001</v>
      </c>
      <c r="D43" s="20">
        <f>SUM(D40:D42)</f>
        <v>281416.19596799999</v>
      </c>
      <c r="E43" s="20">
        <f>SUM(E40:E42)</f>
        <v>289470.56945510407</v>
      </c>
      <c r="F43" s="20">
        <f>SUM(F40:F42)</f>
        <v>5545174.8840071354</v>
      </c>
      <c r="G43" s="20"/>
      <c r="H43" s="4"/>
      <c r="I43" s="4"/>
    </row>
    <row r="44" spans="1:9" x14ac:dyDescent="0.2">
      <c r="A44" s="2" t="s">
        <v>17</v>
      </c>
      <c r="B44" s="20">
        <f>NPV(K19,B43:F43)</f>
        <v>4852317.1074435152</v>
      </c>
      <c r="C44" s="20"/>
      <c r="D44" s="20"/>
      <c r="E44" s="20"/>
      <c r="F44" s="20"/>
      <c r="G44" s="20"/>
    </row>
    <row r="45" spans="1:9" x14ac:dyDescent="0.2">
      <c r="A45" s="3" t="s">
        <v>20</v>
      </c>
      <c r="B45" s="20">
        <f>ROUND(B44,-4)</f>
        <v>4850000</v>
      </c>
      <c r="C45" s="20"/>
      <c r="D45" s="20"/>
      <c r="E45" s="20"/>
      <c r="F45" s="20"/>
      <c r="G45" s="20"/>
    </row>
    <row r="46" spans="1:9" ht="15" x14ac:dyDescent="0.25">
      <c r="A46" s="3" t="s">
        <v>23</v>
      </c>
      <c r="B46" s="20">
        <f>B45/B2</f>
        <v>1010.4166666666666</v>
      </c>
      <c r="C46" s="20"/>
      <c r="D46" s="20"/>
      <c r="E46" s="20"/>
      <c r="F46" s="20"/>
      <c r="G46" s="20"/>
    </row>
    <row r="47" spans="1:9" ht="15" x14ac:dyDescent="0.25">
      <c r="A47" s="3" t="s">
        <v>68</v>
      </c>
    </row>
    <row r="48" spans="1:9" x14ac:dyDescent="0.2">
      <c r="A48" s="3" t="s">
        <v>21</v>
      </c>
    </row>
    <row r="49" spans="1:2" x14ac:dyDescent="0.2">
      <c r="A49" s="3" t="s">
        <v>22</v>
      </c>
    </row>
    <row r="51" spans="1:2" ht="15" x14ac:dyDescent="0.25">
      <c r="A51" s="13" t="s">
        <v>64</v>
      </c>
    </row>
    <row r="53" spans="1:2" x14ac:dyDescent="0.2">
      <c r="A53" s="3" t="s">
        <v>48</v>
      </c>
      <c r="B53" s="6">
        <f>G34</f>
        <v>0.02</v>
      </c>
    </row>
    <row r="54" spans="1:2" x14ac:dyDescent="0.2">
      <c r="A54" s="3" t="s">
        <v>4</v>
      </c>
      <c r="B54" s="20">
        <f>B35</f>
        <v>360000</v>
      </c>
    </row>
    <row r="55" spans="1:2" x14ac:dyDescent="0.2">
      <c r="A55" s="3" t="s">
        <v>6</v>
      </c>
      <c r="B55" s="20">
        <f>B54*-G13</f>
        <v>-41400</v>
      </c>
    </row>
    <row r="56" spans="1:2" x14ac:dyDescent="0.2">
      <c r="A56" s="3" t="s">
        <v>11</v>
      </c>
      <c r="B56" s="20">
        <f>B54+B55</f>
        <v>318600</v>
      </c>
    </row>
    <row r="57" spans="1:2" x14ac:dyDescent="0.2">
      <c r="A57" s="3" t="s">
        <v>12</v>
      </c>
      <c r="B57" s="20">
        <f>B38</f>
        <v>-54144</v>
      </c>
    </row>
    <row r="58" spans="1:2" x14ac:dyDescent="0.2">
      <c r="A58" s="3" t="s">
        <v>13</v>
      </c>
      <c r="B58" s="20">
        <f>B56+B57</f>
        <v>264456</v>
      </c>
    </row>
    <row r="59" spans="1:2" x14ac:dyDescent="0.2">
      <c r="A59" s="2" t="s">
        <v>17</v>
      </c>
      <c r="B59" s="20">
        <f>B58/K24</f>
        <v>5289120</v>
      </c>
    </row>
    <row r="60" spans="1:2" x14ac:dyDescent="0.2">
      <c r="A60" s="2" t="s">
        <v>65</v>
      </c>
      <c r="B60" s="20">
        <f>SUM(B39:E39)</f>
        <v>-24960</v>
      </c>
    </row>
    <row r="61" spans="1:2" x14ac:dyDescent="0.2">
      <c r="A61" s="2" t="s">
        <v>66</v>
      </c>
      <c r="B61" s="20">
        <f>B59+B60</f>
        <v>5264160</v>
      </c>
    </row>
    <row r="62" spans="1:2" x14ac:dyDescent="0.2">
      <c r="A62" s="3" t="s">
        <v>20</v>
      </c>
      <c r="B62" s="21">
        <f>ROUND(B61,-4)</f>
        <v>5260000</v>
      </c>
    </row>
    <row r="63" spans="1:2" ht="15" x14ac:dyDescent="0.25">
      <c r="A63" s="3" t="s">
        <v>23</v>
      </c>
      <c r="B63" s="21">
        <f>B62/B2</f>
        <v>1095.8333333333333</v>
      </c>
    </row>
    <row r="64" spans="1:2" ht="15" x14ac:dyDescent="0.25">
      <c r="A64" s="3" t="s">
        <v>67</v>
      </c>
    </row>
    <row r="65" spans="1:1" x14ac:dyDescent="0.2">
      <c r="A65" s="3" t="s">
        <v>21</v>
      </c>
    </row>
    <row r="66" spans="1:1" x14ac:dyDescent="0.2">
      <c r="A66" s="3" t="s">
        <v>22</v>
      </c>
    </row>
  </sheetData>
  <mergeCells count="2">
    <mergeCell ref="G3:H11"/>
    <mergeCell ref="H12:H14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Hartti Tomson</dc:creator>
  <cp:lastModifiedBy>Kersti Soomuste</cp:lastModifiedBy>
  <dcterms:created xsi:type="dcterms:W3CDTF">2023-10-15T14:04:13Z</dcterms:created>
  <dcterms:modified xsi:type="dcterms:W3CDTF">2025-09-24T06:41:34Z</dcterms:modified>
</cp:coreProperties>
</file>