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KHY\2025_10 Eksam sügis\Ülesanded\07_VH\"/>
    </mc:Choice>
  </mc:AlternateContent>
  <xr:revisionPtr revIDLastSave="0" documentId="13_ncr:1_{0BD2009A-2ADB-480B-A286-BE2427EDD39F}" xr6:coauthVersionLast="47" xr6:coauthVersionMax="47" xr10:uidLastSave="{00000000-0000-0000-0000-000000000000}"/>
  <bookViews>
    <workbookView xWindow="-105" yWindow="0" windowWidth="23295" windowHeight="20985" tabRatio="727" activeTab="1" xr2:uid="{00000000-000D-0000-FFFF-FFFF00000000}"/>
  </bookViews>
  <sheets>
    <sheet name="VH_tulum_Variant 1" sheetId="10" r:id="rId1"/>
    <sheet name="VH_tulum_Variant 2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1" l="1"/>
  <c r="C33" i="11"/>
  <c r="E34" i="11" s="1"/>
  <c r="L27" i="11"/>
  <c r="L25" i="11"/>
  <c r="L24" i="11"/>
  <c r="K25" i="11"/>
  <c r="K24" i="11"/>
  <c r="J25" i="11"/>
  <c r="J26" i="11"/>
  <c r="I26" i="11"/>
  <c r="I25" i="11"/>
  <c r="J24" i="11"/>
  <c r="H20" i="11"/>
  <c r="H22" i="11"/>
  <c r="C22" i="11"/>
  <c r="C16" i="11"/>
  <c r="D61" i="10"/>
  <c r="C31" i="10"/>
  <c r="L48" i="10"/>
  <c r="E48" i="10"/>
  <c r="E49" i="10"/>
  <c r="C75" i="10"/>
  <c r="E69" i="10"/>
  <c r="F68" i="10"/>
  <c r="E68" i="10"/>
  <c r="F66" i="10"/>
  <c r="F65" i="10"/>
  <c r="E65" i="10"/>
  <c r="F61" i="10"/>
  <c r="E61" i="10"/>
  <c r="F62" i="10"/>
  <c r="E62" i="10"/>
  <c r="D62" i="10"/>
  <c r="I68" i="10"/>
  <c r="H68" i="10"/>
  <c r="G68" i="10"/>
  <c r="E43" i="11"/>
  <c r="C67" i="11" s="1"/>
  <c r="D67" i="11"/>
  <c r="D53" i="11"/>
  <c r="E53" i="11"/>
  <c r="F53" i="11"/>
  <c r="C7" i="11"/>
  <c r="D68" i="10"/>
  <c r="C25" i="10"/>
  <c r="B87" i="10"/>
  <c r="K36" i="11"/>
  <c r="E44" i="11"/>
  <c r="C5" i="11"/>
  <c r="C10" i="11"/>
  <c r="E21" i="11"/>
  <c r="E52" i="11"/>
  <c r="F52" i="11"/>
  <c r="G52" i="11"/>
  <c r="G53" i="11"/>
  <c r="H52" i="11"/>
  <c r="H53" i="11"/>
  <c r="I52" i="11"/>
  <c r="I53" i="11"/>
  <c r="I55" i="11"/>
  <c r="C13" i="11"/>
  <c r="E13" i="11"/>
  <c r="E56" i="11"/>
  <c r="F56" i="11"/>
  <c r="G56" i="11"/>
  <c r="H56" i="11"/>
  <c r="I56" i="11"/>
  <c r="I57" i="11"/>
  <c r="I58" i="11"/>
  <c r="E59" i="11"/>
  <c r="F59" i="11"/>
  <c r="G59" i="11"/>
  <c r="H59" i="11"/>
  <c r="I45" i="11"/>
  <c r="E41" i="11"/>
  <c r="E42" i="11"/>
  <c r="E46" i="10"/>
  <c r="K26" i="11"/>
  <c r="I23" i="11"/>
  <c r="I24" i="11"/>
  <c r="L26" i="11"/>
  <c r="D56" i="11" s="1"/>
  <c r="D57" i="11" s="1"/>
  <c r="D58" i="11" s="1"/>
  <c r="H16" i="11"/>
  <c r="H18" i="11"/>
  <c r="E18" i="11"/>
  <c r="E19" i="11"/>
  <c r="E20" i="11"/>
  <c r="C19" i="10"/>
  <c r="C63" i="11"/>
  <c r="I59" i="11"/>
  <c r="E51" i="11"/>
  <c r="F51" i="11" s="1"/>
  <c r="G51" i="11" s="1"/>
  <c r="H51" i="11" s="1"/>
  <c r="I51" i="11" s="1"/>
  <c r="D31" i="11"/>
  <c r="D30" i="11"/>
  <c r="E24" i="11"/>
  <c r="E17" i="11"/>
  <c r="I53" i="10"/>
  <c r="D64" i="10"/>
  <c r="E59" i="10"/>
  <c r="E33" i="10"/>
  <c r="C17" i="10"/>
  <c r="C24" i="10"/>
  <c r="H67" i="10"/>
  <c r="G67" i="10"/>
  <c r="F67" i="10"/>
  <c r="E67" i="10"/>
  <c r="D38" i="10"/>
  <c r="C41" i="10"/>
  <c r="C42" i="10"/>
  <c r="D55" i="11"/>
  <c r="G60" i="10"/>
  <c r="H60" i="10"/>
  <c r="I60" i="10"/>
  <c r="D39" i="10"/>
  <c r="E55" i="11"/>
  <c r="E57" i="11"/>
  <c r="E58" i="11"/>
  <c r="F55" i="11"/>
  <c r="F57" i="11"/>
  <c r="F58" i="11"/>
  <c r="G57" i="11"/>
  <c r="G55" i="11"/>
  <c r="G58" i="11"/>
  <c r="H57" i="11"/>
  <c r="H55" i="11"/>
  <c r="D75" i="10"/>
  <c r="E75" i="10"/>
  <c r="H58" i="11"/>
  <c r="F75" i="10"/>
  <c r="G75" i="10"/>
  <c r="H75" i="10"/>
  <c r="I67" i="10"/>
  <c r="E64" i="10"/>
  <c r="C71" i="10"/>
  <c r="F59" i="10"/>
  <c r="G59" i="10"/>
  <c r="H59" i="10"/>
  <c r="I59" i="10"/>
  <c r="F64" i="10"/>
  <c r="E27" i="10"/>
  <c r="E24" i="10"/>
  <c r="G64" i="10"/>
  <c r="H64" i="10"/>
  <c r="I64" i="10"/>
  <c r="D60" i="11" l="1"/>
  <c r="E60" i="11" s="1"/>
  <c r="E67" i="11"/>
  <c r="G62" i="10"/>
  <c r="H62" i="10" s="1"/>
  <c r="I62" i="10" s="1"/>
  <c r="D65" i="10"/>
  <c r="D63" i="10"/>
  <c r="D66" i="10" s="1"/>
  <c r="D69" i="10" s="1"/>
  <c r="D74" i="10" s="1"/>
  <c r="D76" i="10" s="1"/>
  <c r="E63" i="10"/>
  <c r="D61" i="11" l="1"/>
  <c r="D66" i="11" s="1"/>
  <c r="E61" i="11"/>
  <c r="E66" i="11" s="1"/>
  <c r="E68" i="11" s="1"/>
  <c r="F60" i="11"/>
  <c r="F67" i="11"/>
  <c r="G67" i="11" s="1"/>
  <c r="H67" i="11" s="1"/>
  <c r="E66" i="10"/>
  <c r="E74" i="10" s="1"/>
  <c r="G61" i="10"/>
  <c r="F63" i="10"/>
  <c r="F69" i="10" s="1"/>
  <c r="F74" i="10" s="1"/>
  <c r="F76" i="10" s="1"/>
  <c r="G60" i="11" l="1"/>
  <c r="F61" i="11"/>
  <c r="F66" i="11" s="1"/>
  <c r="F68" i="11" s="1"/>
  <c r="D68" i="11"/>
  <c r="E76" i="10"/>
  <c r="H61" i="10"/>
  <c r="G63" i="10"/>
  <c r="G65" i="10"/>
  <c r="H60" i="11" l="1"/>
  <c r="G61" i="11"/>
  <c r="G66" i="11" s="1"/>
  <c r="H63" i="10"/>
  <c r="H65" i="10"/>
  <c r="I61" i="10"/>
  <c r="G66" i="10"/>
  <c r="G69" i="10" s="1"/>
  <c r="G74" i="10" s="1"/>
  <c r="I60" i="11" l="1"/>
  <c r="I61" i="11" s="1"/>
  <c r="H63" i="11" s="1"/>
  <c r="H64" i="11" s="1"/>
  <c r="H65" i="11" s="1"/>
  <c r="H61" i="11"/>
  <c r="G68" i="11"/>
  <c r="I63" i="10"/>
  <c r="I65" i="10"/>
  <c r="G76" i="10"/>
  <c r="H66" i="10"/>
  <c r="H69" i="10" s="1"/>
  <c r="H66" i="11" l="1"/>
  <c r="I66" i="10"/>
  <c r="I69" i="10" s="1"/>
  <c r="H71" i="10" s="1"/>
  <c r="H72" i="10" s="1"/>
  <c r="H68" i="11" l="1"/>
  <c r="C69" i="11"/>
  <c r="C71" i="11"/>
  <c r="H73" i="10"/>
  <c r="H74" i="10" s="1"/>
  <c r="C79" i="10" s="1"/>
  <c r="C70" i="11" l="1"/>
  <c r="D70" i="11" s="1"/>
  <c r="H76" i="10"/>
  <c r="C77" i="10"/>
  <c r="C78" i="10" s="1"/>
  <c r="D7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tc={6014475D-D66E-4773-88B7-827E167BA94C}</author>
  </authors>
  <commentList>
    <comment ref="F60" authorId="0" shapeId="0" xr:uid="{6014475D-D66E-4773-88B7-827E167BA94C}">
      <text>
        <t>[Threaded comment]
Your version of Excel allows you to read this threaded comment; however, any edits to it will get removed if the file is opened in a newer version of Excel. Learn more: https://go.microsoft.com/fwlink/?linkid=870924
Comment:
    Esimene indekseerimine on kokku lepitud neljanda üürilepingu aasta alguses, leping sõlmitud 29.09.2023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tc={F3EBA3AE-8F58-4AF6-9BA4-C569B8C78482}</author>
    <author>tc={8E69599C-9FC6-4181-8229-5A9C992D108B}</author>
    <author>tc={41453F39-49E3-41E0-B98D-9B725BA04830}</author>
  </authors>
  <commentList>
    <comment ref="E52" authorId="0" shapeId="0" xr:uid="{F3EBA3AE-8F58-4AF6-9BA4-C569B8C78482}">
      <text>
        <t>[Threaded comment]
Your version of Excel allows you to read this threaded comment; however, any edits to it will get removed if the file is opened in a newer version of Excel. Learn more: https://go.microsoft.com/fwlink/?linkid=870924
Comment:
    indekseerimises 2,5% aastas alates 29.09.2026</t>
      </text>
    </comment>
    <comment ref="D53" authorId="1" shapeId="0" xr:uid="{8E69599C-9FC6-4181-8229-5A9C992D108B}">
      <text>
        <t>[Threaded comment]
Your version of Excel allows you to read this threaded comment; however, any edits to it will get removed if the file is opened in a newer version of Excel. Learn more: https://go.microsoft.com/fwlink/?linkid=870924
Comment:
    PGI arvestab mööblipoe täit üüri</t>
      </text>
    </comment>
    <comment ref="D56" authorId="2" shapeId="0" xr:uid="{41453F39-49E3-41E0-B98D-9B725BA04830}">
      <text>
        <t>[Threaded comment]
Your version of Excel allows you to read this threaded comment; however, any edits to it will get removed if the file is opened in a newer version of Excel. Learn more: https://go.microsoft.com/fwlink/?linkid=870924
Comment:
    Arvesse võetud mööblipoe ja vabade pindade vakantset perioodi</t>
      </text>
    </comment>
  </commentList>
</comments>
</file>

<file path=xl/sharedStrings.xml><?xml version="1.0" encoding="utf-8"?>
<sst xmlns="http://schemas.openxmlformats.org/spreadsheetml/2006/main" count="255" uniqueCount="148">
  <si>
    <t>Müügikulu</t>
  </si>
  <si>
    <t>VH tulumeetodi ülesanne</t>
  </si>
  <si>
    <t>NB! Alljärgnevalt on toodud üks võimalikest lahendusvariantidest</t>
  </si>
  <si>
    <t>Üürileantav pind, m2</t>
  </si>
  <si>
    <t>Hoone vakantsus</t>
  </si>
  <si>
    <t>Üüritulu</t>
  </si>
  <si>
    <t>Omanikukulud</t>
  </si>
  <si>
    <t>maamaks aastas, EUR</t>
  </si>
  <si>
    <t>kindlustus aastas, EUR</t>
  </si>
  <si>
    <t>omanikukulu EUR/m2/kuus</t>
  </si>
  <si>
    <t>Tulumäärad</t>
  </si>
  <si>
    <t>diskontomäär</t>
  </si>
  <si>
    <t>Hinnatav</t>
  </si>
  <si>
    <t>Valitud</t>
  </si>
  <si>
    <t>vakantsus</t>
  </si>
  <si>
    <t>omanikukulu kokku, EUR</t>
  </si>
  <si>
    <t>Turg</t>
  </si>
  <si>
    <t>Tulemus ei sisalda käibemaksu.</t>
  </si>
  <si>
    <t>kapitalikulu aastas, EUR</t>
  </si>
  <si>
    <t>valitud tegelik, kuna vastab turutasemele</t>
  </si>
  <si>
    <t>parkimiskohtade vakantsus on üldjuhul korrelatsioonis hoone vakantsusega</t>
  </si>
  <si>
    <t>Kapitalisatsioonimäär</t>
  </si>
  <si>
    <t>1-3%</t>
  </si>
  <si>
    <t>Asukoht</t>
  </si>
  <si>
    <t>Hoone tüüp</t>
  </si>
  <si>
    <t>Tehingu aeg</t>
  </si>
  <si>
    <t>Kesklinn</t>
  </si>
  <si>
    <t>Kaubanduskeskus</t>
  </si>
  <si>
    <t>Äärelinn</t>
  </si>
  <si>
    <t>Tööstushoone</t>
  </si>
  <si>
    <t>Parkimismaja</t>
  </si>
  <si>
    <t>Ärihoone</t>
  </si>
  <si>
    <t>Stock-office</t>
  </si>
  <si>
    <t>Q2 2024</t>
  </si>
  <si>
    <t>Q3 2024</t>
  </si>
  <si>
    <t>Valime, sest hinnatav vara vastab sellele</t>
  </si>
  <si>
    <t>Kommentaar</t>
  </si>
  <si>
    <t>0-5%</t>
  </si>
  <si>
    <t>halduskulud aastas, EUR</t>
  </si>
  <si>
    <t xml:space="preserve">Hinnatud tulemuse täpsusklass on antud turusegmendi jaoks keskmine ehk +/- 5%. </t>
  </si>
  <si>
    <t>Diskonteerimine:</t>
  </si>
  <si>
    <t>Aasta</t>
  </si>
  <si>
    <t>Potentsiaalne kogutulu (PGI), eur</t>
  </si>
  <si>
    <t>Vakantsus,eur</t>
  </si>
  <si>
    <t>Efektiivne kogutulu (EGI), eur</t>
  </si>
  <si>
    <t>Tegevuskulude kasv, %</t>
  </si>
  <si>
    <t>Tegevuskulude kasv on turul kasvanud samas tempos inflatsiooniga</t>
  </si>
  <si>
    <t>Tegevuskulud, eur</t>
  </si>
  <si>
    <t>Puhas tegevustulu (NOI), eur</t>
  </si>
  <si>
    <t>Müügihind, eur</t>
  </si>
  <si>
    <t>Müügitulu, eur</t>
  </si>
  <si>
    <t>Rahavoog, eur</t>
  </si>
  <si>
    <t>Diskontokordaja</t>
  </si>
  <si>
    <t>Diskonteeritud rahavood, eur</t>
  </si>
  <si>
    <t>Turuväärtus, eur</t>
  </si>
  <si>
    <t>Ümardatud turuväärtus, eur</t>
  </si>
  <si>
    <t>eur/SNPm2</t>
  </si>
  <si>
    <t>ankurüürniku üüritulu kasv, %</t>
  </si>
  <si>
    <t>ankurüürniku üüritulu, €</t>
  </si>
  <si>
    <t>parkimistulu, €</t>
  </si>
  <si>
    <t>Taoliste varade müügikulu on turul tavapäraselt olnud 1-2% müügihinnast</t>
  </si>
  <si>
    <t>Majutusasutus</t>
  </si>
  <si>
    <t>sh</t>
  </si>
  <si>
    <t>parkimistasu maa-aluses parklas, EUR/koht/kuus</t>
  </si>
  <si>
    <t>parkimistulu kuus maa-aluses parklas, EUR/kuus</t>
  </si>
  <si>
    <t>Vakantsed parkimiskohad maa-aluses parklas</t>
  </si>
  <si>
    <t>ankurüürnik, büroo EUR/m2/kuus</t>
  </si>
  <si>
    <t>ankurüürnik, büroo, EUR/kuus</t>
  </si>
  <si>
    <t>ankurüürnik, üüri tõus</t>
  </si>
  <si>
    <t>EUR/m2/kuus</t>
  </si>
  <si>
    <t>Kulude kasv</t>
  </si>
  <si>
    <t>vastavalt THI'le</t>
  </si>
  <si>
    <t>THI prognoos</t>
  </si>
  <si>
    <t>kuud üürnik sees</t>
  </si>
  <si>
    <t>Büroopindade investeering (ankurüürniku pind)</t>
  </si>
  <si>
    <t>TV arvutatuna NPV valemit kasutades</t>
  </si>
  <si>
    <t>kap. määr hetkel</t>
  </si>
  <si>
    <t>kap.määr 5 aasta pärast</t>
  </si>
  <si>
    <r>
      <rPr>
        <b/>
        <sz val="10"/>
        <rFont val="Arial"/>
        <family val="2"/>
      </rPr>
      <t>Hoone</t>
    </r>
    <r>
      <rPr>
        <sz val="10"/>
        <rFont val="Arial"/>
        <family val="2"/>
      </rPr>
      <t xml:space="preserve"> SNP, m2</t>
    </r>
  </si>
  <si>
    <t xml:space="preserve">   ankurüürnik (büroo)</t>
  </si>
  <si>
    <r>
      <rPr>
        <b/>
        <sz val="10"/>
        <rFont val="Arial"/>
        <family val="2"/>
      </rPr>
      <t>Parkimiskohtade</t>
    </r>
    <r>
      <rPr>
        <sz val="10"/>
        <rFont val="Arial"/>
        <family val="2"/>
      </rPr>
      <t xml:space="preserve"> arv maa-aluses parklas</t>
    </r>
  </si>
  <si>
    <t>Kommentaarid</t>
  </si>
  <si>
    <t>Väärtuse kuupäev 29.09.2025</t>
  </si>
  <si>
    <t xml:space="preserve">1) Põhjendada ja selgitada prognoosiperioodi valiku aluseid. Tuua välja, millest sõltub prognoosiperioodi valik üldiselt. </t>
  </si>
  <si>
    <t>2) Diskonteeritud rahavoogude meetod</t>
  </si>
  <si>
    <t>VARIANT 1 - büroohoone</t>
  </si>
  <si>
    <t>130-175</t>
  </si>
  <si>
    <t>pikaajaline</t>
  </si>
  <si>
    <t>15-20</t>
  </si>
  <si>
    <t>1%; 4-7%</t>
  </si>
  <si>
    <t>0,35-0,5</t>
  </si>
  <si>
    <t>valitud turu madalam pool, kuna tegelik on alla turu taseme; omanikukulud tõusevad vastavalt turu praktikale THI võrra</t>
  </si>
  <si>
    <t>Tegelik 0%, valitud turu minimaalne - pikaajaline tähtajaline üürileping tugeva üürnikuga (riigiasutus)</t>
  </si>
  <si>
    <t>Vakantsus (büroo, parkimine), %</t>
  </si>
  <si>
    <t>Lepingu põhine, vastab turu tasemele</t>
  </si>
  <si>
    <t>NOI/Müügihind</t>
  </si>
  <si>
    <t>Q4 2024</t>
  </si>
  <si>
    <t>Q1 2025</t>
  </si>
  <si>
    <t>Q2 2025</t>
  </si>
  <si>
    <t>Q3 2025</t>
  </si>
  <si>
    <t>Hinnatava vara müügiperiood on kuni 12 kuud</t>
  </si>
  <si>
    <t>vakantsed pinnad</t>
  </si>
  <si>
    <t>Lepingu põhine, vastab turu tasemele, alates lepingu 4.aasta algusest, so prognoosiperioodi 3. aasta</t>
  </si>
  <si>
    <t xml:space="preserve">   ankurüürnik (supermarket)</t>
  </si>
  <si>
    <t>mööblipood</t>
  </si>
  <si>
    <t>valitub turu minimaalne tase, kuna tugev pikaajaline üürileping, hoone tegelik vakantsus on 0</t>
  </si>
  <si>
    <t>3-7%</t>
  </si>
  <si>
    <t>üüri tõus</t>
  </si>
  <si>
    <t xml:space="preserve">   mööblipood</t>
  </si>
  <si>
    <t xml:space="preserve">   spordiklubi</t>
  </si>
  <si>
    <t xml:space="preserve">   muud</t>
  </si>
  <si>
    <t xml:space="preserve">   vakantne</t>
  </si>
  <si>
    <t>remont, üürivaba periood</t>
  </si>
  <si>
    <t>12-15</t>
  </si>
  <si>
    <t>Kuine üür</t>
  </si>
  <si>
    <t>Investeering</t>
  </si>
  <si>
    <t>üürniku kulul</t>
  </si>
  <si>
    <t>Kogu hoone</t>
  </si>
  <si>
    <t>ülejäänu hoone</t>
  </si>
  <si>
    <t>kogu hoone 1. a vakantsus</t>
  </si>
  <si>
    <t>Tegelik 3,8%, valitud tegelik, mis vastab turu tasemele. 1. a arvestatud mööblipoe üürivaba perioodiga</t>
  </si>
  <si>
    <t>valitud tegelik, kuna vastab turu tasemele</t>
  </si>
  <si>
    <t xml:space="preserve">3) Investoril on mõistlik valida variant 1 - tegemist uuema varaga, üürilepingu pooleks on riigiasutus, üürileping tähtajaline 10+ aastat, lepingu tase vastab turu tasemele. Varale on väljastatud LEED Platinum rohesertifikaat. </t>
  </si>
  <si>
    <t>VARIANT 2 - Kaubanduskeskus</t>
  </si>
  <si>
    <t>0,5-0,7</t>
  </si>
  <si>
    <t>Riskivaba</t>
  </si>
  <si>
    <t>Riskilisa</t>
  </si>
  <si>
    <t>Disk.määr</t>
  </si>
  <si>
    <t>riskivaba+riskilisa</t>
  </si>
  <si>
    <t>Prognoosiperiood
Rahavoo prognoosiperioodi kestuse valik sõltub majanduskeskkonnast ja hinnatavast varast. Prognoosiperioodi pikkus on 5 aastat kuni 15 aastat. Kui majanduskeskkond on riskantsem, on prognoosiperiood lühem ja vastupidi: kui majanduskeskkond on stabiilne, on prognoosiperiood pikem. 
Prognoosiperioodi valikul tuleb arvesse võtta: 
•	vara kasutusiga;
•	rahavoo andmete kättesaadavus;
•	minimaalne ajavahemik, mille jooksul vara saavutab stabiliseeritud rahavoo;
•	varad, mille rahavood muutuvad tsükliliselt, peab prognoosiperiood haarama kogu selle vara rahavoo tsükli.
Lähtuvalt kättesaadavast infotmatsioonist, üürilepingute pikkusest ja turuolukorrast, oleme arvestusperioodiks valinud mõlemal juhul 5+1 aastat.</t>
  </si>
  <si>
    <r>
      <t xml:space="preserve">Hinnatava vara (kaubanduskeskuse) </t>
    </r>
    <r>
      <rPr>
        <b/>
        <sz val="10"/>
        <rFont val="Arial"/>
        <family val="2"/>
      </rPr>
      <t>turuväärtus</t>
    </r>
    <r>
      <rPr>
        <sz val="10"/>
        <rFont val="Arial"/>
        <family val="2"/>
      </rPr>
      <t xml:space="preserve"> diskonteeritud rahavoogude meetodil väärtuse kuupäeva (29.09.2025) seisuga on ca </t>
    </r>
    <r>
      <rPr>
        <b/>
        <sz val="10"/>
        <rFont val="Arial"/>
        <family val="2"/>
      </rPr>
      <t>20 680 000  eurot</t>
    </r>
    <r>
      <rPr>
        <sz val="10"/>
        <rFont val="Arial"/>
        <family val="2"/>
      </rPr>
      <t xml:space="preserve"> ehk ca 2 433 eurot hoone suletud netopinna kohta. </t>
    </r>
  </si>
  <si>
    <t xml:space="preserve">Hinnatav vara NR 1 on müügipakkumises 25 M€ ja hinnatav vara NR 2 on müügipakkumises 23 MEUR. Vara NR 2 eest on omanike ootus üle turu taseme. </t>
  </si>
  <si>
    <t>Küsimus nr 3</t>
  </si>
  <si>
    <t>üüritulu, €</t>
  </si>
  <si>
    <t>üüritulu kasv, %</t>
  </si>
  <si>
    <t>Vakantsus, %</t>
  </si>
  <si>
    <t>16-18, ankur 13,5-15,5</t>
  </si>
  <si>
    <t>Valin olemasoleva, kuna tähtajalist lepingut lõpetada ei saa, tegemist tugeva üürnikuga ning kaasaegse hoonega</t>
  </si>
  <si>
    <t xml:space="preserve">valitud tegelik, kuna vastab turutasemele; parkimistasu indekseerimine on sama ülejäänud hoonega. </t>
  </si>
  <si>
    <t xml:space="preserve">valitud olemasolev, kuna olemasolev tase vastab turu tasemele. Lepingu lõppedes eeldatakse üürniku jätkamist ja lepingu lõppemist. Ei loeta valeks ka lepingu lõppemine, pikem prognoosiperiood ja üürimäära viimist turu keskmisele tasemele. </t>
  </si>
  <si>
    <t xml:space="preserve">Atraktiivsetel esimese korruse kaubandus-teeninduspindadele leitakse üürnikud kuni ühe kuu jooksul. </t>
  </si>
  <si>
    <t>1. a vakantsus, vakantsed pinnad</t>
  </si>
  <si>
    <t>vakantne osa</t>
  </si>
  <si>
    <r>
      <t xml:space="preserve">Hinnatava vara (büroohoone) </t>
    </r>
    <r>
      <rPr>
        <b/>
        <sz val="10"/>
        <rFont val="Arial"/>
        <family val="2"/>
      </rPr>
      <t>turuväärtus</t>
    </r>
    <r>
      <rPr>
        <sz val="10"/>
        <rFont val="Arial"/>
        <family val="2"/>
      </rPr>
      <t xml:space="preserve"> diskonteeritud rahavoogude meetodil väärtuse kuupäeva (29.09.2025) seisuga on ca </t>
    </r>
    <r>
      <rPr>
        <b/>
        <sz val="10"/>
        <rFont val="Arial"/>
        <family val="2"/>
      </rPr>
      <t>30 730 000  eurot</t>
    </r>
    <r>
      <rPr>
        <sz val="10"/>
        <rFont val="Arial"/>
        <family val="2"/>
      </rPr>
      <t xml:space="preserve"> ehk ca 3 034 eurot hoone suletud netopinna kohta. </t>
    </r>
  </si>
  <si>
    <t>1. a vakantsus, mööblipood; Leping on sõlmitud 29.08.2025</t>
  </si>
  <si>
    <t>valin turu taseme keskmise; tasemel 15-20 €/m2/kuus alla 1000 m2 pindade puhul.</t>
  </si>
  <si>
    <t>valitud tegelik, kuna vastab turutasemele; kus on tugev ankurüürnik, jäävad tasemele ca 12-15 €/m2/kuus suurematel pindadel (üle 1000 m2)</t>
  </si>
  <si>
    <t>Keskmine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</si>
</sst>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"/>
    <numFmt numFmtId="165" formatCode="0.0"/>
    <numFmt numFmtId="166" formatCode="#,##0.0000"/>
    <numFmt numFmtId="167" formatCode="0.0%"/>
    <numFmt numFmtId="168" formatCode="#,##0.000"/>
    <numFmt numFmtId="169" formatCode="0.000"/>
    <numFmt numFmtId="170" formatCode="0.000%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charset val="186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186"/>
    </font>
    <font>
      <sz val="9.5"/>
      <name val="Open Sans"/>
      <family val="2"/>
      <charset val="186"/>
    </font>
    <font>
      <i/>
      <sz val="10"/>
      <name val="Arial"/>
      <family val="2"/>
    </font>
    <font>
      <b/>
      <sz val="11"/>
      <name val="Arial"/>
      <family val="2"/>
      <charset val="186"/>
    </font>
    <font>
      <sz val="8"/>
      <name val="Calibri"/>
      <family val="2"/>
      <charset val="186"/>
      <scheme val="minor"/>
    </font>
    <font>
      <sz val="9"/>
      <color indexed="81"/>
      <name val="Tahoma"/>
      <charset val="1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D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4" fillId="3" borderId="3" xfId="0" applyFont="1" applyFill="1" applyBorder="1"/>
    <xf numFmtId="0" fontId="4" fillId="4" borderId="13" xfId="2" applyFont="1" applyFill="1" applyBorder="1"/>
    <xf numFmtId="0" fontId="3" fillId="0" borderId="0" xfId="0" applyFont="1" applyAlignment="1">
      <alignment horizontal="center" wrapText="1"/>
    </xf>
    <xf numFmtId="0" fontId="3" fillId="4" borderId="14" xfId="2" applyFont="1" applyFill="1" applyBorder="1" applyAlignment="1">
      <alignment horizontal="right"/>
    </xf>
    <xf numFmtId="0" fontId="4" fillId="4" borderId="14" xfId="2" applyFont="1" applyFill="1" applyBorder="1" applyAlignment="1">
      <alignment horizontal="right"/>
    </xf>
    <xf numFmtId="3" fontId="4" fillId="3" borderId="13" xfId="2" applyNumberFormat="1" applyFont="1" applyFill="1" applyBorder="1"/>
    <xf numFmtId="167" fontId="3" fillId="3" borderId="12" xfId="0" applyNumberFormat="1" applyFont="1" applyFill="1" applyBorder="1"/>
    <xf numFmtId="3" fontId="4" fillId="3" borderId="12" xfId="2" applyNumberFormat="1" applyFont="1" applyFill="1" applyBorder="1"/>
    <xf numFmtId="3" fontId="4" fillId="3" borderId="6" xfId="2" applyNumberFormat="1" applyFont="1" applyFill="1" applyBorder="1"/>
    <xf numFmtId="0" fontId="4" fillId="4" borderId="14" xfId="0" applyFont="1" applyFill="1" applyBorder="1" applyAlignment="1">
      <alignment horizontal="right"/>
    </xf>
    <xf numFmtId="9" fontId="4" fillId="0" borderId="12" xfId="0" applyNumberFormat="1" applyFont="1" applyBorder="1"/>
    <xf numFmtId="3" fontId="4" fillId="3" borderId="12" xfId="0" applyNumberFormat="1" applyFont="1" applyFill="1" applyBorder="1"/>
    <xf numFmtId="3" fontId="4" fillId="3" borderId="12" xfId="2" applyNumberFormat="1" applyFont="1" applyFill="1" applyBorder="1" applyAlignment="1">
      <alignment horizontal="right"/>
    </xf>
    <xf numFmtId="3" fontId="4" fillId="5" borderId="12" xfId="0" applyNumberFormat="1" applyFont="1" applyFill="1" applyBorder="1"/>
    <xf numFmtId="3" fontId="4" fillId="3" borderId="0" xfId="2" applyNumberFormat="1" applyFont="1" applyFill="1" applyAlignment="1">
      <alignment horizontal="right"/>
    </xf>
    <xf numFmtId="0" fontId="4" fillId="4" borderId="15" xfId="0" applyFont="1" applyFill="1" applyBorder="1" applyAlignment="1">
      <alignment horizontal="right"/>
    </xf>
    <xf numFmtId="3" fontId="4" fillId="5" borderId="16" xfId="0" applyNumberFormat="1" applyFont="1" applyFill="1" applyBorder="1"/>
    <xf numFmtId="0" fontId="5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9" fontId="3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5" xfId="0" applyFont="1" applyBorder="1"/>
    <xf numFmtId="9" fontId="3" fillId="0" borderId="6" xfId="1" applyFont="1" applyBorder="1" applyAlignment="1">
      <alignment horizontal="center"/>
    </xf>
    <xf numFmtId="0" fontId="3" fillId="6" borderId="5" xfId="0" applyFont="1" applyFill="1" applyBorder="1"/>
    <xf numFmtId="3" fontId="3" fillId="6" borderId="0" xfId="0" applyNumberFormat="1" applyFont="1" applyFill="1" applyAlignment="1">
      <alignment horizontal="center"/>
    </xf>
    <xf numFmtId="0" fontId="3" fillId="6" borderId="6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0" fontId="3" fillId="0" borderId="0" xfId="0" applyNumberFormat="1" applyFont="1"/>
    <xf numFmtId="9" fontId="3" fillId="0" borderId="0" xfId="0" applyNumberFormat="1" applyFont="1"/>
    <xf numFmtId="0" fontId="3" fillId="0" borderId="6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4" fontId="3" fillId="0" borderId="0" xfId="0" applyNumberFormat="1" applyFont="1" applyAlignment="1">
      <alignment horizontal="center"/>
    </xf>
    <xf numFmtId="9" fontId="8" fillId="0" borderId="0" xfId="0" applyNumberFormat="1" applyFont="1"/>
    <xf numFmtId="10" fontId="8" fillId="0" borderId="0" xfId="0" applyNumberFormat="1" applyFont="1"/>
    <xf numFmtId="0" fontId="10" fillId="0" borderId="5" xfId="0" applyFont="1" applyBorder="1"/>
    <xf numFmtId="0" fontId="2" fillId="0" borderId="0" xfId="0" applyFont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0" fontId="11" fillId="0" borderId="0" xfId="0" applyFont="1"/>
    <xf numFmtId="0" fontId="4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3" borderId="1" xfId="0" applyFont="1" applyFill="1" applyBorder="1"/>
    <xf numFmtId="0" fontId="3" fillId="3" borderId="4" xfId="0" applyFont="1" applyFill="1" applyBorder="1"/>
    <xf numFmtId="0" fontId="4" fillId="4" borderId="12" xfId="2" applyFont="1" applyFill="1" applyBorder="1"/>
    <xf numFmtId="167" fontId="3" fillId="3" borderId="12" xfId="1" applyNumberFormat="1" applyFont="1" applyFill="1" applyBorder="1"/>
    <xf numFmtId="3" fontId="3" fillId="3" borderId="12" xfId="2" applyNumberFormat="1" applyFont="1" applyFill="1" applyBorder="1"/>
    <xf numFmtId="167" fontId="3" fillId="0" borderId="12" xfId="0" applyNumberFormat="1" applyFont="1" applyBorder="1"/>
    <xf numFmtId="3" fontId="3" fillId="3" borderId="12" xfId="0" applyNumberFormat="1" applyFont="1" applyFill="1" applyBorder="1"/>
    <xf numFmtId="0" fontId="3" fillId="3" borderId="12" xfId="0" applyFont="1" applyFill="1" applyBorder="1"/>
    <xf numFmtId="9" fontId="3" fillId="3" borderId="12" xfId="0" applyNumberFormat="1" applyFont="1" applyFill="1" applyBorder="1"/>
    <xf numFmtId="3" fontId="3" fillId="3" borderId="12" xfId="1" applyNumberFormat="1" applyFont="1" applyFill="1" applyBorder="1"/>
    <xf numFmtId="165" fontId="3" fillId="3" borderId="12" xfId="0" applyNumberFormat="1" applyFont="1" applyFill="1" applyBorder="1"/>
    <xf numFmtId="3" fontId="3" fillId="3" borderId="13" xfId="2" applyNumberFormat="1" applyFont="1" applyFill="1" applyBorder="1"/>
    <xf numFmtId="0" fontId="3" fillId="4" borderId="14" xfId="2" applyFont="1" applyFill="1" applyBorder="1" applyAlignment="1">
      <alignment horizontal="right" wrapText="1"/>
    </xf>
    <xf numFmtId="0" fontId="3" fillId="4" borderId="14" xfId="0" applyFont="1" applyFill="1" applyBorder="1" applyAlignment="1">
      <alignment horizontal="right"/>
    </xf>
    <xf numFmtId="10" fontId="3" fillId="0" borderId="12" xfId="0" applyNumberFormat="1" applyFont="1" applyBorder="1"/>
    <xf numFmtId="166" fontId="3" fillId="3" borderId="12" xfId="0" applyNumberFormat="1" applyFont="1" applyFill="1" applyBorder="1"/>
    <xf numFmtId="166" fontId="3" fillId="3" borderId="6" xfId="0" applyNumberFormat="1" applyFont="1" applyFill="1" applyBorder="1"/>
    <xf numFmtId="9" fontId="3" fillId="0" borderId="12" xfId="0" applyNumberFormat="1" applyFont="1" applyBorder="1"/>
    <xf numFmtId="3" fontId="3" fillId="3" borderId="6" xfId="2" applyNumberFormat="1" applyFont="1" applyFill="1" applyBorder="1"/>
    <xf numFmtId="0" fontId="3" fillId="3" borderId="2" xfId="0" applyFont="1" applyFill="1" applyBorder="1"/>
    <xf numFmtId="164" fontId="3" fillId="3" borderId="2" xfId="0" applyNumberFormat="1" applyFont="1" applyFill="1" applyBorder="1" applyAlignment="1">
      <alignment horizontal="left"/>
    </xf>
    <xf numFmtId="0" fontId="3" fillId="3" borderId="8" xfId="0" applyFont="1" applyFill="1" applyBorder="1"/>
    <xf numFmtId="9" fontId="9" fillId="0" borderId="0" xfId="0" applyNumberFormat="1" applyFont="1"/>
    <xf numFmtId="10" fontId="9" fillId="0" borderId="0" xfId="0" applyNumberFormat="1" applyFont="1"/>
    <xf numFmtId="0" fontId="12" fillId="0" borderId="0" xfId="0" applyFont="1"/>
    <xf numFmtId="10" fontId="12" fillId="0" borderId="0" xfId="0" applyNumberFormat="1" applyFont="1"/>
    <xf numFmtId="167" fontId="9" fillId="0" borderId="0" xfId="1" applyNumberFormat="1" applyFont="1"/>
    <xf numFmtId="0" fontId="6" fillId="0" borderId="0" xfId="0" applyFont="1"/>
    <xf numFmtId="10" fontId="6" fillId="7" borderId="0" xfId="1" applyNumberFormat="1" applyFont="1" applyFill="1"/>
    <xf numFmtId="0" fontId="6" fillId="7" borderId="0" xfId="0" applyFont="1" applyFill="1" applyAlignment="1">
      <alignment horizontal="center"/>
    </xf>
    <xf numFmtId="0" fontId="3" fillId="7" borderId="0" xfId="0" applyFont="1" applyFill="1"/>
    <xf numFmtId="0" fontId="6" fillId="7" borderId="0" xfId="0" applyFont="1" applyFill="1"/>
    <xf numFmtId="167" fontId="3" fillId="3" borderId="13" xfId="1" applyNumberFormat="1" applyFont="1" applyFill="1" applyBorder="1"/>
    <xf numFmtId="3" fontId="3" fillId="3" borderId="13" xfId="1" applyNumberFormat="1" applyFont="1" applyFill="1" applyBorder="1"/>
    <xf numFmtId="9" fontId="3" fillId="0" borderId="0" xfId="1" applyFont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67" fontId="3" fillId="0" borderId="0" xfId="1" applyNumberFormat="1" applyFont="1" applyAlignment="1">
      <alignment horizontal="center"/>
    </xf>
    <xf numFmtId="2" fontId="3" fillId="0" borderId="6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/>
    </xf>
    <xf numFmtId="10" fontId="3" fillId="0" borderId="0" xfId="1" applyNumberFormat="1" applyFont="1"/>
    <xf numFmtId="10" fontId="4" fillId="0" borderId="0" xfId="0" applyNumberFormat="1" applyFont="1"/>
    <xf numFmtId="10" fontId="6" fillId="0" borderId="0" xfId="1" applyNumberFormat="1" applyFont="1" applyFill="1"/>
    <xf numFmtId="0" fontId="6" fillId="0" borderId="0" xfId="0" applyFont="1" applyAlignment="1">
      <alignment horizontal="center"/>
    </xf>
    <xf numFmtId="167" fontId="4" fillId="0" borderId="0" xfId="1" applyNumberFormat="1" applyFont="1" applyFill="1" applyAlignment="1">
      <alignment horizontal="center"/>
    </xf>
    <xf numFmtId="167" fontId="3" fillId="0" borderId="0" xfId="0" applyNumberFormat="1" applyFont="1"/>
    <xf numFmtId="3" fontId="3" fillId="0" borderId="0" xfId="0" applyNumberFormat="1" applyFont="1"/>
    <xf numFmtId="167" fontId="3" fillId="0" borderId="0" xfId="1" applyNumberFormat="1" applyFont="1" applyFill="1" applyAlignment="1">
      <alignment horizontal="center"/>
    </xf>
    <xf numFmtId="10" fontId="4" fillId="0" borderId="0" xfId="1" applyNumberFormat="1" applyFont="1" applyFill="1"/>
    <xf numFmtId="9" fontId="3" fillId="0" borderId="0" xfId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1" xfId="0" applyFont="1" applyBorder="1"/>
    <xf numFmtId="167" fontId="3" fillId="0" borderId="12" xfId="1" applyNumberFormat="1" applyFont="1" applyFill="1" applyBorder="1"/>
    <xf numFmtId="3" fontId="3" fillId="0" borderId="12" xfId="2" applyNumberFormat="1" applyFont="1" applyBorder="1"/>
    <xf numFmtId="3" fontId="3" fillId="0" borderId="12" xfId="0" applyNumberFormat="1" applyFont="1" applyBorder="1"/>
    <xf numFmtId="3" fontId="4" fillId="0" borderId="12" xfId="2" applyNumberFormat="1" applyFont="1" applyBorder="1"/>
    <xf numFmtId="3" fontId="3" fillId="0" borderId="12" xfId="1" applyNumberFormat="1" applyFont="1" applyFill="1" applyBorder="1"/>
    <xf numFmtId="166" fontId="3" fillId="0" borderId="12" xfId="0" applyNumberFormat="1" applyFont="1" applyBorder="1"/>
    <xf numFmtId="3" fontId="4" fillId="0" borderId="12" xfId="0" applyNumberFormat="1" applyFont="1" applyBorder="1"/>
    <xf numFmtId="3" fontId="4" fillId="0" borderId="11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9" fontId="3" fillId="0" borderId="0" xfId="1" applyFont="1" applyFill="1" applyAlignment="1">
      <alignment horizontal="center"/>
    </xf>
    <xf numFmtId="49" fontId="3" fillId="6" borderId="0" xfId="0" applyNumberFormat="1" applyFont="1" applyFill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167" fontId="3" fillId="0" borderId="6" xfId="1" applyNumberFormat="1" applyFont="1" applyBorder="1" applyAlignment="1">
      <alignment horizontal="center"/>
    </xf>
    <xf numFmtId="2" fontId="3" fillId="0" borderId="0" xfId="0" applyNumberFormat="1" applyFont="1"/>
    <xf numFmtId="167" fontId="4" fillId="0" borderId="0" xfId="1" applyNumberFormat="1" applyFont="1" applyFill="1"/>
    <xf numFmtId="44" fontId="3" fillId="0" borderId="0" xfId="3" applyFont="1" applyAlignment="1">
      <alignment horizontal="center"/>
    </xf>
    <xf numFmtId="0" fontId="3" fillId="0" borderId="5" xfId="0" applyFont="1" applyBorder="1" applyAlignment="1">
      <alignment horizontal="right"/>
    </xf>
    <xf numFmtId="167" fontId="4" fillId="7" borderId="0" xfId="1" applyNumberFormat="1" applyFont="1" applyFill="1" applyAlignment="1">
      <alignment horizontal="right"/>
    </xf>
    <xf numFmtId="10" fontId="3" fillId="0" borderId="0" xfId="1" applyNumberFormat="1" applyFont="1" applyFill="1"/>
    <xf numFmtId="4" fontId="3" fillId="0" borderId="6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8" borderId="12" xfId="2" applyFont="1" applyFill="1" applyBorder="1"/>
    <xf numFmtId="168" fontId="3" fillId="0" borderId="0" xfId="0" applyNumberFormat="1" applyFont="1" applyAlignment="1">
      <alignment horizontal="center"/>
    </xf>
    <xf numFmtId="169" fontId="3" fillId="0" borderId="6" xfId="0" applyNumberFormat="1" applyFont="1" applyBorder="1" applyAlignment="1">
      <alignment horizontal="center"/>
    </xf>
    <xf numFmtId="170" fontId="4" fillId="0" borderId="0" xfId="0" applyNumberFormat="1" applyFont="1"/>
    <xf numFmtId="10" fontId="4" fillId="0" borderId="0" xfId="1" applyNumberFormat="1" applyFont="1"/>
    <xf numFmtId="10" fontId="7" fillId="0" borderId="0" xfId="0" applyNumberFormat="1" applyFont="1"/>
    <xf numFmtId="170" fontId="3" fillId="0" borderId="0" xfId="0" applyNumberFormat="1" applyFont="1"/>
    <xf numFmtId="10" fontId="2" fillId="0" borderId="0" xfId="1" applyNumberFormat="1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4" borderId="10" xfId="2" applyFont="1" applyFill="1" applyBorder="1" applyAlignment="1">
      <alignment horizontal="right"/>
    </xf>
    <xf numFmtId="0" fontId="4" fillId="4" borderId="11" xfId="2" applyFont="1" applyFill="1" applyBorder="1" applyAlignment="1">
      <alignment horizontal="right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0" fontId="3" fillId="0" borderId="12" xfId="1" applyNumberFormat="1" applyFont="1" applyFill="1" applyBorder="1"/>
    <xf numFmtId="10" fontId="6" fillId="9" borderId="0" xfId="1" applyNumberFormat="1" applyFont="1" applyFill="1"/>
    <xf numFmtId="3" fontId="6" fillId="9" borderId="0" xfId="0" applyNumberFormat="1" applyFont="1" applyFill="1" applyAlignment="1">
      <alignment horizontal="center"/>
    </xf>
    <xf numFmtId="9" fontId="3" fillId="9" borderId="0" xfId="0" applyNumberFormat="1" applyFont="1" applyFill="1"/>
    <xf numFmtId="3" fontId="3" fillId="9" borderId="0" xfId="0" applyNumberFormat="1" applyFont="1" applyFill="1"/>
    <xf numFmtId="167" fontId="4" fillId="9" borderId="0" xfId="0" applyNumberFormat="1" applyFont="1" applyFill="1"/>
    <xf numFmtId="9" fontId="3" fillId="9" borderId="0" xfId="1" applyFont="1" applyFill="1"/>
    <xf numFmtId="10" fontId="3" fillId="9" borderId="0" xfId="1" applyNumberFormat="1" applyFont="1" applyFill="1"/>
    <xf numFmtId="10" fontId="3" fillId="9" borderId="0" xfId="0" applyNumberFormat="1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/>
    <xf numFmtId="10" fontId="4" fillId="9" borderId="0" xfId="0" applyNumberFormat="1" applyFont="1" applyFill="1"/>
    <xf numFmtId="0" fontId="4" fillId="2" borderId="0" xfId="0" applyFont="1" applyFill="1"/>
    <xf numFmtId="10" fontId="4" fillId="2" borderId="0" xfId="1" applyNumberFormat="1" applyFont="1" applyFill="1"/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8" xfId="0" applyFont="1" applyBorder="1" applyAlignment="1">
      <alignment horizontal="right" vertical="center"/>
    </xf>
  </cellXfs>
  <cellStyles count="4">
    <cellStyle name="Currency" xfId="3" builtinId="4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C0C0C0"/>
      <color rgb="FFCCCDD5"/>
      <color rgb="FF0975A2"/>
      <color rgb="FF4A4A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rsti Soomuste" id="{5691ECB5-0B5F-4F63-AF4B-746F61D1C275}" userId="S::kersti.soomuste@lahekinnisvara.onmicrosoft.com::1222e9a2-e87e-4654-a7b3-3340e6ab0ef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0" dT="2025-10-16T08:55:38.54" personId="{5691ECB5-0B5F-4F63-AF4B-746F61D1C275}" id="{6014475D-D66E-4773-88B7-827E167BA94C}">
    <text>Esimene indekseerimine on kokku lepitud neljanda üürilepingu aasta alguses, leping sõlmitud 29.09.2023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52" dT="2025-10-16T09:06:55.52" personId="{5691ECB5-0B5F-4F63-AF4B-746F61D1C275}" id="{F3EBA3AE-8F58-4AF6-9BA4-C569B8C78482}">
    <text>indekseerimises 2,5% aastas alates 29.09.2026</text>
  </threadedComment>
  <threadedComment ref="D53" dT="2025-10-16T09:10:06.94" personId="{5691ECB5-0B5F-4F63-AF4B-746F61D1C275}" id="{8E69599C-9FC6-4181-8229-5A9C992D108B}">
    <text>PGI arvestab mööblipoe täit üüri</text>
  </threadedComment>
  <threadedComment ref="D56" dT="2025-10-16T09:17:15.03" personId="{5691ECB5-0B5F-4F63-AF4B-746F61D1C275}" id="{41453F39-49E3-41E0-B98D-9B725BA04830}">
    <text>Arvesse võetud mööblipoe ja vabade pindade vakantset perioodi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98"/>
  <sheetViews>
    <sheetView topLeftCell="A24" zoomScaleNormal="100" workbookViewId="0">
      <selection activeCell="F50" sqref="F50:J50"/>
    </sheetView>
  </sheetViews>
  <sheetFormatPr defaultColWidth="9.140625" defaultRowHeight="12.75" x14ac:dyDescent="0.2"/>
  <cols>
    <col min="1" max="1" width="4.7109375" style="20" customWidth="1"/>
    <col min="2" max="2" width="33.7109375" style="20" customWidth="1"/>
    <col min="3" max="3" width="18" style="21" customWidth="1"/>
    <col min="4" max="4" width="11.42578125" style="21" customWidth="1"/>
    <col min="5" max="5" width="15.140625" style="21" customWidth="1"/>
    <col min="6" max="6" width="16.28515625" style="21" customWidth="1"/>
    <col min="7" max="7" width="18.140625" style="21" customWidth="1"/>
    <col min="8" max="8" width="17.28515625" style="21" customWidth="1"/>
    <col min="9" max="9" width="15.28515625" style="20" customWidth="1"/>
    <col min="10" max="15" width="13.85546875" style="20" customWidth="1"/>
    <col min="16" max="16384" width="9.140625" style="20"/>
  </cols>
  <sheetData>
    <row r="2" spans="2:10" x14ac:dyDescent="0.2">
      <c r="B2" s="19" t="s">
        <v>1</v>
      </c>
      <c r="D2" s="144"/>
      <c r="E2" s="145"/>
      <c r="F2" s="145"/>
      <c r="G2" s="145"/>
      <c r="H2" s="145"/>
      <c r="I2" s="145"/>
      <c r="J2" s="145"/>
    </row>
    <row r="3" spans="2:10" x14ac:dyDescent="0.2">
      <c r="B3" s="20" t="s">
        <v>82</v>
      </c>
    </row>
    <row r="5" spans="2:10" x14ac:dyDescent="0.2">
      <c r="B5" s="18" t="s">
        <v>2</v>
      </c>
    </row>
    <row r="6" spans="2:10" x14ac:dyDescent="0.2">
      <c r="B6" s="19"/>
    </row>
    <row r="7" spans="2:10" x14ac:dyDescent="0.2">
      <c r="B7" s="19" t="s">
        <v>83</v>
      </c>
    </row>
    <row r="8" spans="2:10" ht="141.75" customHeight="1" x14ac:dyDescent="0.2">
      <c r="B8" s="148" t="s">
        <v>129</v>
      </c>
      <c r="C8" s="148"/>
      <c r="D8" s="148"/>
      <c r="E8" s="148"/>
      <c r="F8" s="148"/>
      <c r="G8" s="148"/>
    </row>
    <row r="9" spans="2:10" x14ac:dyDescent="0.2">
      <c r="B9" s="59"/>
      <c r="C9" s="59"/>
      <c r="D9" s="59"/>
      <c r="E9" s="59"/>
      <c r="F9" s="59"/>
      <c r="G9" s="59"/>
    </row>
    <row r="10" spans="2:10" ht="15" x14ac:dyDescent="0.25">
      <c r="B10" s="19"/>
      <c r="H10" s="29"/>
      <c r="I10" s="87"/>
    </row>
    <row r="11" spans="2:10" ht="15" x14ac:dyDescent="0.25">
      <c r="B11" s="19" t="s">
        <v>84</v>
      </c>
      <c r="H11" s="102"/>
      <c r="I11" s="103"/>
    </row>
    <row r="12" spans="2:10" ht="15.75" thickBot="1" x14ac:dyDescent="0.3">
      <c r="B12" s="19" t="s">
        <v>85</v>
      </c>
      <c r="H12" s="102"/>
      <c r="I12" s="103"/>
    </row>
    <row r="13" spans="2:10" ht="15" x14ac:dyDescent="0.25">
      <c r="B13" s="22"/>
      <c r="C13" s="23" t="s">
        <v>12</v>
      </c>
      <c r="D13" s="23" t="s">
        <v>16</v>
      </c>
      <c r="E13" s="24" t="s">
        <v>13</v>
      </c>
      <c r="F13" s="25" t="s">
        <v>81</v>
      </c>
      <c r="H13" s="102"/>
      <c r="I13" s="103"/>
    </row>
    <row r="14" spans="2:10" ht="15" x14ac:dyDescent="0.25">
      <c r="B14" s="26" t="s">
        <v>78</v>
      </c>
      <c r="C14" s="27">
        <v>10128</v>
      </c>
      <c r="E14" s="28"/>
      <c r="F14" s="25"/>
      <c r="H14" s="104"/>
      <c r="I14" s="87"/>
    </row>
    <row r="15" spans="2:10" x14ac:dyDescent="0.2">
      <c r="B15" s="26" t="s">
        <v>3</v>
      </c>
      <c r="C15" s="27">
        <v>8412</v>
      </c>
      <c r="E15" s="28"/>
      <c r="F15" s="25"/>
      <c r="H15" s="29"/>
    </row>
    <row r="16" spans="2:10" ht="15" x14ac:dyDescent="0.25">
      <c r="B16" s="26" t="s">
        <v>62</v>
      </c>
      <c r="C16" s="27"/>
      <c r="E16" s="28"/>
      <c r="F16" s="25"/>
      <c r="H16" s="102"/>
      <c r="I16" s="103"/>
    </row>
    <row r="17" spans="2:12" ht="15" x14ac:dyDescent="0.25">
      <c r="B17" s="26" t="s">
        <v>79</v>
      </c>
      <c r="C17" s="27">
        <f>C15</f>
        <v>8412</v>
      </c>
      <c r="D17" s="27"/>
      <c r="E17" s="28"/>
      <c r="F17" s="30"/>
      <c r="H17" s="102"/>
      <c r="I17" s="103"/>
    </row>
    <row r="18" spans="2:12" x14ac:dyDescent="0.2">
      <c r="B18" s="26" t="s">
        <v>101</v>
      </c>
      <c r="C18" s="126">
        <v>0</v>
      </c>
      <c r="D18" s="109"/>
      <c r="E18" s="32"/>
      <c r="F18" s="25"/>
      <c r="H18" s="31"/>
    </row>
    <row r="19" spans="2:12" ht="15" x14ac:dyDescent="0.25">
      <c r="B19" s="26" t="s">
        <v>4</v>
      </c>
      <c r="C19" s="96">
        <f>(C18)/C15</f>
        <v>0</v>
      </c>
      <c r="D19" s="21" t="s">
        <v>89</v>
      </c>
      <c r="E19" s="33">
        <v>0.01</v>
      </c>
      <c r="F19" s="25" t="s">
        <v>105</v>
      </c>
      <c r="H19" s="102"/>
      <c r="I19" s="103"/>
      <c r="K19" s="106"/>
      <c r="L19" s="105"/>
    </row>
    <row r="20" spans="2:12" ht="15" x14ac:dyDescent="0.25">
      <c r="B20" s="26"/>
      <c r="C20" s="27"/>
      <c r="E20" s="28"/>
      <c r="F20" s="25"/>
      <c r="H20" s="102"/>
      <c r="I20" s="103"/>
      <c r="K20" s="106"/>
      <c r="L20" s="42"/>
    </row>
    <row r="21" spans="2:12" ht="15" x14ac:dyDescent="0.25">
      <c r="B21" s="26" t="s">
        <v>80</v>
      </c>
      <c r="C21" s="21">
        <v>149</v>
      </c>
      <c r="E21" s="28"/>
      <c r="F21" s="25"/>
      <c r="H21" s="107"/>
      <c r="I21" s="87"/>
      <c r="K21" s="108"/>
    </row>
    <row r="22" spans="2:12" x14ac:dyDescent="0.2">
      <c r="B22" s="26"/>
      <c r="E22" s="28"/>
      <c r="F22" s="25"/>
      <c r="H22" s="29"/>
    </row>
    <row r="23" spans="2:12" ht="15" x14ac:dyDescent="0.25">
      <c r="B23" s="26" t="s">
        <v>65</v>
      </c>
      <c r="C23" s="21">
        <v>0</v>
      </c>
      <c r="E23" s="28"/>
      <c r="F23" s="25"/>
      <c r="H23" s="102"/>
      <c r="I23" s="103"/>
      <c r="K23" s="106"/>
      <c r="L23" s="105"/>
    </row>
    <row r="24" spans="2:12" ht="15" x14ac:dyDescent="0.25">
      <c r="B24" s="26" t="s">
        <v>14</v>
      </c>
      <c r="C24" s="99">
        <f>C23/C21</f>
        <v>0</v>
      </c>
      <c r="D24" s="21" t="s">
        <v>37</v>
      </c>
      <c r="E24" s="53">
        <f>E19</f>
        <v>0.01</v>
      </c>
      <c r="F24" s="25" t="s">
        <v>20</v>
      </c>
      <c r="H24" s="102"/>
      <c r="I24" s="103"/>
      <c r="K24" s="106"/>
      <c r="L24" s="42"/>
    </row>
    <row r="25" spans="2:12" ht="15" x14ac:dyDescent="0.25">
      <c r="B25" s="26" t="s">
        <v>64</v>
      </c>
      <c r="C25" s="21">
        <f>C27*C21</f>
        <v>22350</v>
      </c>
      <c r="E25" s="33"/>
      <c r="F25" s="25"/>
      <c r="H25" s="107"/>
      <c r="I25" s="87"/>
      <c r="K25" s="108"/>
    </row>
    <row r="26" spans="2:12" x14ac:dyDescent="0.2">
      <c r="B26" s="26"/>
      <c r="C26" s="27"/>
      <c r="E26" s="28"/>
      <c r="F26" s="25"/>
    </row>
    <row r="27" spans="2:12" x14ac:dyDescent="0.2">
      <c r="B27" s="26" t="s">
        <v>63</v>
      </c>
      <c r="C27" s="35">
        <v>150</v>
      </c>
      <c r="D27" s="21" t="s">
        <v>86</v>
      </c>
      <c r="E27" s="34">
        <f>C27</f>
        <v>150</v>
      </c>
      <c r="F27" s="25" t="s">
        <v>138</v>
      </c>
    </row>
    <row r="28" spans="2:12" x14ac:dyDescent="0.2">
      <c r="B28" s="26"/>
      <c r="C28" s="35"/>
      <c r="E28" s="34"/>
      <c r="F28" s="25"/>
    </row>
    <row r="29" spans="2:12" x14ac:dyDescent="0.2">
      <c r="B29" s="36" t="s">
        <v>5</v>
      </c>
      <c r="E29" s="28"/>
      <c r="F29" s="25"/>
    </row>
    <row r="30" spans="2:12" x14ac:dyDescent="0.2">
      <c r="B30" s="38" t="s">
        <v>67</v>
      </c>
      <c r="C30" s="39">
        <v>147210</v>
      </c>
      <c r="D30" s="125"/>
      <c r="E30" s="40"/>
      <c r="F30" s="25"/>
    </row>
    <row r="31" spans="2:12" ht="25.5" x14ac:dyDescent="0.2">
      <c r="B31" s="26" t="s">
        <v>66</v>
      </c>
      <c r="C31" s="41">
        <f>C30/C17</f>
        <v>17.5</v>
      </c>
      <c r="D31" s="149" t="s">
        <v>136</v>
      </c>
      <c r="E31" s="98">
        <v>17.5</v>
      </c>
      <c r="F31" s="25" t="s">
        <v>137</v>
      </c>
    </row>
    <row r="32" spans="2:12" x14ac:dyDescent="0.2">
      <c r="B32" s="26"/>
      <c r="C32" s="41"/>
      <c r="D32" s="110"/>
      <c r="E32" s="34"/>
      <c r="F32" s="25"/>
    </row>
    <row r="33" spans="2:20" x14ac:dyDescent="0.2">
      <c r="B33" s="26" t="s">
        <v>68</v>
      </c>
      <c r="C33" s="97">
        <v>0.02</v>
      </c>
      <c r="D33" s="110" t="s">
        <v>22</v>
      </c>
      <c r="E33" s="37">
        <f>C33</f>
        <v>0.02</v>
      </c>
      <c r="F33" s="25" t="s">
        <v>19</v>
      </c>
    </row>
    <row r="34" spans="2:20" x14ac:dyDescent="0.2">
      <c r="B34" s="26"/>
      <c r="D34" s="110"/>
      <c r="E34" s="28"/>
      <c r="F34" s="25"/>
    </row>
    <row r="35" spans="2:20" x14ac:dyDescent="0.2">
      <c r="B35" s="36" t="s">
        <v>6</v>
      </c>
      <c r="D35" s="110"/>
      <c r="E35" s="28"/>
      <c r="F35" s="25"/>
      <c r="T35" s="42"/>
    </row>
    <row r="36" spans="2:20" x14ac:dyDescent="0.2">
      <c r="B36" s="26" t="s">
        <v>7</v>
      </c>
      <c r="C36" s="27">
        <v>7854</v>
      </c>
      <c r="D36" s="110"/>
      <c r="E36" s="28"/>
      <c r="F36" s="25"/>
      <c r="P36" s="43"/>
      <c r="Q36" s="43"/>
      <c r="R36" s="42"/>
    </row>
    <row r="37" spans="2:20" x14ac:dyDescent="0.2">
      <c r="B37" s="26" t="s">
        <v>8</v>
      </c>
      <c r="C37" s="27">
        <v>8620</v>
      </c>
      <c r="D37" s="110"/>
      <c r="E37" s="28"/>
      <c r="F37" s="25"/>
    </row>
    <row r="38" spans="2:20" x14ac:dyDescent="0.2">
      <c r="B38" s="26" t="s">
        <v>38</v>
      </c>
      <c r="C38" s="150">
        <v>6076.8</v>
      </c>
      <c r="D38" s="41">
        <f>(C36+C37+C38)/12/C14</f>
        <v>0.18554831490258031</v>
      </c>
      <c r="E38" s="28" t="s">
        <v>69</v>
      </c>
      <c r="F38" s="25"/>
    </row>
    <row r="39" spans="2:20" x14ac:dyDescent="0.2">
      <c r="B39" s="26" t="s">
        <v>18</v>
      </c>
      <c r="C39" s="27">
        <v>15000</v>
      </c>
      <c r="D39" s="41">
        <f>C39/12/C14</f>
        <v>0.12342022116903634</v>
      </c>
      <c r="E39" s="28" t="s">
        <v>69</v>
      </c>
      <c r="F39" s="20"/>
      <c r="G39" s="20"/>
    </row>
    <row r="40" spans="2:20" x14ac:dyDescent="0.2">
      <c r="B40" s="26"/>
      <c r="C40" s="20"/>
      <c r="D40" s="20"/>
      <c r="E40" s="44"/>
      <c r="F40" s="20"/>
      <c r="G40" s="20"/>
      <c r="J40" s="19" t="s">
        <v>72</v>
      </c>
      <c r="K40" s="20">
        <v>2024</v>
      </c>
      <c r="L40" s="20">
        <v>2025</v>
      </c>
      <c r="M40" s="20">
        <v>2026</v>
      </c>
      <c r="N40" s="20">
        <v>2027</v>
      </c>
      <c r="O40" s="20" t="s">
        <v>87</v>
      </c>
    </row>
    <row r="41" spans="2:20" ht="14.25" x14ac:dyDescent="0.2">
      <c r="B41" s="26" t="s">
        <v>15</v>
      </c>
      <c r="C41" s="27">
        <f>SUM(C36:C39)</f>
        <v>37550.800000000003</v>
      </c>
      <c r="D41" s="110"/>
      <c r="E41" s="28"/>
      <c r="F41" s="25"/>
      <c r="J41" s="42"/>
      <c r="K41" s="42">
        <v>3.5000000000000003E-2</v>
      </c>
      <c r="L41" s="42">
        <v>5.3999999999999999E-2</v>
      </c>
      <c r="M41" s="42">
        <v>3.2000000000000001E-2</v>
      </c>
      <c r="N41" s="42">
        <v>2.8000000000000001E-2</v>
      </c>
      <c r="O41" s="42">
        <v>0.02</v>
      </c>
      <c r="Q41" s="47"/>
    </row>
    <row r="42" spans="2:20" ht="14.25" x14ac:dyDescent="0.2">
      <c r="B42" s="26" t="s">
        <v>9</v>
      </c>
      <c r="C42" s="137">
        <f>C41/C14/12</f>
        <v>0.30896853607161667</v>
      </c>
      <c r="D42" s="110" t="s">
        <v>90</v>
      </c>
      <c r="E42" s="138">
        <v>0.35</v>
      </c>
      <c r="F42" s="25" t="s">
        <v>91</v>
      </c>
      <c r="O42" s="43"/>
      <c r="Q42" s="47"/>
    </row>
    <row r="43" spans="2:20" ht="15" x14ac:dyDescent="0.25">
      <c r="B43" s="26" t="s">
        <v>70</v>
      </c>
      <c r="C43" s="48"/>
      <c r="D43" s="20"/>
      <c r="E43" s="44" t="s">
        <v>71</v>
      </c>
      <c r="F43" s="20"/>
      <c r="K43" s="45"/>
      <c r="L43" s="46"/>
      <c r="M43" s="46"/>
      <c r="N43" s="46"/>
      <c r="O43" s="46"/>
      <c r="P43" s="47"/>
      <c r="Q43" s="47"/>
    </row>
    <row r="44" spans="2:20" ht="14.25" x14ac:dyDescent="0.2">
      <c r="B44" s="26"/>
      <c r="D44" s="110"/>
      <c r="E44" s="28"/>
      <c r="F44" s="25"/>
      <c r="K44" s="46"/>
      <c r="L44" s="49"/>
      <c r="M44" s="50"/>
      <c r="N44" s="46"/>
      <c r="O44" s="46"/>
      <c r="P44" s="47"/>
      <c r="Q44" s="47"/>
    </row>
    <row r="45" spans="2:20" ht="14.25" x14ac:dyDescent="0.2">
      <c r="B45" s="36" t="s">
        <v>10</v>
      </c>
      <c r="D45" s="110"/>
      <c r="E45" s="28"/>
      <c r="F45" s="19" t="s">
        <v>21</v>
      </c>
      <c r="G45" s="20"/>
      <c r="H45" s="20"/>
      <c r="K45" s="46"/>
      <c r="L45" s="49"/>
      <c r="M45" s="49"/>
      <c r="N45" s="46"/>
      <c r="O45" s="46"/>
      <c r="P45" s="47"/>
      <c r="Q45" s="47"/>
    </row>
    <row r="46" spans="2:20" ht="15.75" x14ac:dyDescent="0.3">
      <c r="B46" s="51" t="s">
        <v>76</v>
      </c>
      <c r="C46" s="52"/>
      <c r="D46" s="143">
        <v>6.5000000000000002E-2</v>
      </c>
      <c r="E46" s="53">
        <f>I53</f>
        <v>6.5000000000000002E-2</v>
      </c>
      <c r="F46" s="20" t="s">
        <v>23</v>
      </c>
      <c r="G46" s="20" t="s">
        <v>24</v>
      </c>
      <c r="H46" s="20" t="s">
        <v>25</v>
      </c>
      <c r="I46" s="20" t="s">
        <v>95</v>
      </c>
      <c r="K46" s="19" t="s">
        <v>125</v>
      </c>
      <c r="L46" s="139">
        <v>3.3000000000000002E-2</v>
      </c>
      <c r="M46" s="46"/>
      <c r="N46" s="46"/>
      <c r="O46" s="46"/>
      <c r="P46" s="47"/>
      <c r="Q46" s="47"/>
    </row>
    <row r="47" spans="2:20" ht="15.75" x14ac:dyDescent="0.3">
      <c r="B47" s="51" t="s">
        <v>77</v>
      </c>
      <c r="C47" s="54"/>
      <c r="D47" s="143">
        <v>6.5000000000000002E-2</v>
      </c>
      <c r="E47" s="28"/>
      <c r="F47" s="20" t="s">
        <v>26</v>
      </c>
      <c r="G47" s="20" t="s">
        <v>27</v>
      </c>
      <c r="H47" s="20" t="s">
        <v>33</v>
      </c>
      <c r="I47" s="100">
        <v>0.08</v>
      </c>
      <c r="K47" s="19" t="s">
        <v>126</v>
      </c>
      <c r="L47" s="139">
        <v>0.05</v>
      </c>
      <c r="M47" s="46"/>
      <c r="N47" s="46"/>
      <c r="O47" s="46"/>
      <c r="P47" s="47"/>
      <c r="Q47" s="47"/>
    </row>
    <row r="48" spans="2:20" ht="15.75" x14ac:dyDescent="0.3">
      <c r="B48" s="51" t="s">
        <v>11</v>
      </c>
      <c r="C48" s="52"/>
      <c r="D48" s="52"/>
      <c r="E48" s="32">
        <f>L48</f>
        <v>8.4649999999999892E-2</v>
      </c>
      <c r="F48" s="20" t="s">
        <v>28</v>
      </c>
      <c r="G48" s="20" t="s">
        <v>29</v>
      </c>
      <c r="H48" s="20" t="s">
        <v>34</v>
      </c>
      <c r="I48" s="100">
        <v>8.5000000000000006E-2</v>
      </c>
      <c r="K48" s="19" t="s">
        <v>127</v>
      </c>
      <c r="L48" s="140">
        <f>(1+L47)*(1+L46)-1</f>
        <v>8.4649999999999892E-2</v>
      </c>
      <c r="M48" s="46"/>
      <c r="N48" s="46"/>
      <c r="O48" s="46"/>
      <c r="P48" s="47"/>
      <c r="Q48" s="47"/>
    </row>
    <row r="49" spans="2:17" ht="14.25" x14ac:dyDescent="0.2">
      <c r="B49" s="26" t="s">
        <v>128</v>
      </c>
      <c r="E49" s="53">
        <f>E48</f>
        <v>8.4649999999999892E-2</v>
      </c>
      <c r="F49" s="20" t="s">
        <v>28</v>
      </c>
      <c r="G49" s="55" t="s">
        <v>32</v>
      </c>
      <c r="H49" s="20" t="s">
        <v>96</v>
      </c>
      <c r="I49" s="100">
        <v>7.4999999999999997E-2</v>
      </c>
      <c r="K49" s="46"/>
      <c r="L49" s="46"/>
      <c r="M49" s="49"/>
      <c r="N49" s="46"/>
      <c r="O49" s="46"/>
      <c r="P49" s="47"/>
      <c r="Q49" s="47"/>
    </row>
    <row r="50" spans="2:17" ht="14.25" x14ac:dyDescent="0.2">
      <c r="B50" s="26"/>
      <c r="E50" s="33"/>
      <c r="F50" s="163" t="s">
        <v>26</v>
      </c>
      <c r="G50" s="163" t="s">
        <v>31</v>
      </c>
      <c r="H50" s="163" t="s">
        <v>97</v>
      </c>
      <c r="I50" s="164">
        <v>6.5000000000000002E-2</v>
      </c>
      <c r="J50" s="19" t="s">
        <v>35</v>
      </c>
      <c r="K50" s="46"/>
      <c r="L50" s="46"/>
      <c r="M50" s="49"/>
      <c r="N50" s="46"/>
      <c r="O50" s="46"/>
      <c r="P50" s="47"/>
      <c r="Q50" s="47"/>
    </row>
    <row r="51" spans="2:17" ht="14.25" x14ac:dyDescent="0.2">
      <c r="B51" s="26"/>
      <c r="E51" s="28"/>
      <c r="F51" s="20" t="s">
        <v>28</v>
      </c>
      <c r="G51" s="20" t="s">
        <v>30</v>
      </c>
      <c r="H51" s="20" t="s">
        <v>98</v>
      </c>
      <c r="I51" s="100">
        <v>0.08</v>
      </c>
      <c r="K51" s="46"/>
      <c r="L51" s="46"/>
      <c r="M51" s="49"/>
      <c r="N51" s="46"/>
      <c r="O51" s="46"/>
      <c r="P51" s="47"/>
      <c r="Q51" s="47"/>
    </row>
    <row r="52" spans="2:17" ht="14.25" x14ac:dyDescent="0.2">
      <c r="B52" s="26"/>
      <c r="E52" s="28"/>
      <c r="F52" s="20" t="s">
        <v>28</v>
      </c>
      <c r="G52" s="20" t="s">
        <v>61</v>
      </c>
      <c r="H52" s="20" t="s">
        <v>99</v>
      </c>
      <c r="I52" s="100">
        <v>0.05</v>
      </c>
      <c r="K52" s="46"/>
      <c r="L52" s="46"/>
      <c r="M52" s="49"/>
      <c r="N52" s="46"/>
      <c r="O52" s="46"/>
      <c r="P52" s="47"/>
      <c r="Q52" s="47"/>
    </row>
    <row r="53" spans="2:17" ht="14.25" x14ac:dyDescent="0.2">
      <c r="B53" s="26"/>
      <c r="E53" s="28"/>
      <c r="F53" s="25"/>
      <c r="G53" s="20"/>
      <c r="H53" s="19" t="s">
        <v>21</v>
      </c>
      <c r="I53" s="101">
        <f>I50</f>
        <v>6.5000000000000002E-2</v>
      </c>
      <c r="K53" s="46"/>
      <c r="L53" s="46"/>
      <c r="M53" s="49"/>
      <c r="N53" s="46"/>
      <c r="O53" s="46"/>
      <c r="P53" s="47"/>
      <c r="Q53" s="47"/>
    </row>
    <row r="54" spans="2:17" ht="15" thickBot="1" x14ac:dyDescent="0.25">
      <c r="B54" s="56" t="s">
        <v>0</v>
      </c>
      <c r="C54" s="57"/>
      <c r="D54" s="111">
        <v>1.4999999999999999E-2</v>
      </c>
      <c r="E54" s="58"/>
      <c r="F54" s="29" t="s">
        <v>60</v>
      </c>
      <c r="K54" s="46"/>
      <c r="L54" s="46"/>
      <c r="M54" s="49"/>
      <c r="N54" s="46"/>
      <c r="O54" s="46"/>
      <c r="P54" s="47"/>
      <c r="Q54" s="47"/>
    </row>
    <row r="55" spans="2:17" ht="14.25" x14ac:dyDescent="0.2">
      <c r="D55" s="112"/>
      <c r="F55" s="25"/>
      <c r="K55" s="46"/>
      <c r="L55" s="46"/>
      <c r="M55" s="49"/>
      <c r="N55" s="46"/>
      <c r="O55" s="46"/>
      <c r="P55" s="47"/>
      <c r="Q55" s="47"/>
    </row>
    <row r="56" spans="2:17" ht="14.25" x14ac:dyDescent="0.2">
      <c r="C56" s="35"/>
      <c r="K56" s="46"/>
      <c r="L56" s="46"/>
      <c r="M56" s="49"/>
      <c r="O56" s="46"/>
      <c r="P56" s="47"/>
      <c r="Q56" s="47"/>
    </row>
    <row r="57" spans="2:17" ht="13.5" thickBot="1" x14ac:dyDescent="0.25">
      <c r="B57" s="59"/>
      <c r="C57" s="59"/>
      <c r="D57" s="59"/>
      <c r="E57" s="59"/>
      <c r="F57" s="59"/>
      <c r="G57" s="59"/>
      <c r="H57" s="59"/>
    </row>
    <row r="58" spans="2:17" x14ac:dyDescent="0.2">
      <c r="B58" s="1" t="s">
        <v>40</v>
      </c>
      <c r="C58" s="60"/>
      <c r="D58" s="113"/>
      <c r="E58" s="60"/>
      <c r="F58" s="60"/>
      <c r="G58" s="60"/>
      <c r="H58" s="60"/>
      <c r="I58" s="61"/>
    </row>
    <row r="59" spans="2:17" x14ac:dyDescent="0.2">
      <c r="B59" s="146" t="s">
        <v>41</v>
      </c>
      <c r="C59" s="147"/>
      <c r="D59" s="62">
        <v>1</v>
      </c>
      <c r="E59" s="62">
        <f>D59+1</f>
        <v>2</v>
      </c>
      <c r="F59" s="62">
        <f>E59+1</f>
        <v>3</v>
      </c>
      <c r="G59" s="62">
        <f>F59+1</f>
        <v>4</v>
      </c>
      <c r="H59" s="62">
        <f>G59+1</f>
        <v>5</v>
      </c>
      <c r="I59" s="2">
        <f>H59+1</f>
        <v>6</v>
      </c>
      <c r="J59" s="20" t="s">
        <v>36</v>
      </c>
    </row>
    <row r="60" spans="2:17" x14ac:dyDescent="0.2">
      <c r="B60" s="4" t="s">
        <v>57</v>
      </c>
      <c r="C60" s="7"/>
      <c r="D60" s="114">
        <v>0</v>
      </c>
      <c r="E60" s="63">
        <v>0</v>
      </c>
      <c r="F60" s="63">
        <v>0.02</v>
      </c>
      <c r="G60" s="63">
        <f>F60</f>
        <v>0.02</v>
      </c>
      <c r="H60" s="63">
        <f>G60</f>
        <v>0.02</v>
      </c>
      <c r="I60" s="63">
        <f>H60</f>
        <v>0.02</v>
      </c>
      <c r="J60" s="20" t="s">
        <v>102</v>
      </c>
    </row>
    <row r="61" spans="2:17" x14ac:dyDescent="0.2">
      <c r="B61" s="4" t="s">
        <v>58</v>
      </c>
      <c r="C61" s="7"/>
      <c r="D61" s="115">
        <f>C30*12*(1+D60)</f>
        <v>1766520</v>
      </c>
      <c r="E61" s="64">
        <f>D61*(1+E60)</f>
        <v>1766520</v>
      </c>
      <c r="F61" s="64">
        <f>E61*(1+F60)</f>
        <v>1801850.4000000001</v>
      </c>
      <c r="G61" s="64">
        <f>F61*(1+G60)</f>
        <v>1837887.4080000003</v>
      </c>
      <c r="H61" s="64">
        <f>G61*(1+H60)</f>
        <v>1874645.1561600002</v>
      </c>
      <c r="I61" s="64">
        <f>H61*(1+I60)</f>
        <v>1912138.0592832002</v>
      </c>
    </row>
    <row r="62" spans="2:17" x14ac:dyDescent="0.2">
      <c r="B62" s="4" t="s">
        <v>59</v>
      </c>
      <c r="C62" s="7"/>
      <c r="D62" s="116">
        <f>C25*12</f>
        <v>268200</v>
      </c>
      <c r="E62" s="66">
        <f>D62*(1+E60)</f>
        <v>268200</v>
      </c>
      <c r="F62" s="64">
        <f>E62*(1+F60)</f>
        <v>273564</v>
      </c>
      <c r="G62" s="64">
        <f>F62*(1+G60)</f>
        <v>279035.28000000003</v>
      </c>
      <c r="H62" s="64">
        <f>G62*(1+H60)</f>
        <v>284615.98560000001</v>
      </c>
      <c r="I62" s="64">
        <f>H62*(1+I60)</f>
        <v>290308.30531200004</v>
      </c>
      <c r="L62" s="3"/>
      <c r="M62" s="3"/>
      <c r="N62" s="3"/>
    </row>
    <row r="63" spans="2:17" x14ac:dyDescent="0.2">
      <c r="B63" s="5" t="s">
        <v>42</v>
      </c>
      <c r="C63" s="67"/>
      <c r="D63" s="117">
        <f t="shared" ref="D63:I63" si="0">D61+D62</f>
        <v>2034720</v>
      </c>
      <c r="E63" s="8">
        <f t="shared" si="0"/>
        <v>2034720</v>
      </c>
      <c r="F63" s="8">
        <f t="shared" si="0"/>
        <v>2075414.4000000001</v>
      </c>
      <c r="G63" s="8">
        <f t="shared" si="0"/>
        <v>2116922.6880000001</v>
      </c>
      <c r="H63" s="8">
        <f t="shared" si="0"/>
        <v>2159261.14176</v>
      </c>
      <c r="I63" s="8">
        <f t="shared" si="0"/>
        <v>2202446.3645952004</v>
      </c>
      <c r="L63" s="3"/>
      <c r="M63" s="3"/>
      <c r="N63" s="3"/>
    </row>
    <row r="64" spans="2:17" s="19" customFormat="1" x14ac:dyDescent="0.2">
      <c r="B64" s="4" t="s">
        <v>93</v>
      </c>
      <c r="C64" s="68"/>
      <c r="D64" s="114">
        <f>E19</f>
        <v>0.01</v>
      </c>
      <c r="E64" s="63">
        <f>D64</f>
        <v>0.01</v>
      </c>
      <c r="F64" s="63">
        <f>E64</f>
        <v>0.01</v>
      </c>
      <c r="G64" s="63">
        <f>F64</f>
        <v>0.01</v>
      </c>
      <c r="H64" s="63">
        <f>G64</f>
        <v>0.01</v>
      </c>
      <c r="I64" s="63">
        <f>H64</f>
        <v>0.01</v>
      </c>
      <c r="J64" s="20" t="s">
        <v>92</v>
      </c>
      <c r="K64" s="20"/>
      <c r="L64" s="3"/>
      <c r="M64" s="3"/>
      <c r="N64" s="3"/>
      <c r="O64" s="20"/>
    </row>
    <row r="65" spans="2:14" x14ac:dyDescent="0.2">
      <c r="B65" s="4" t="s">
        <v>43</v>
      </c>
      <c r="C65" s="68"/>
      <c r="D65" s="118">
        <f t="shared" ref="D65:I65" si="1">-(D61*D64+D62*D64)</f>
        <v>-20347.2</v>
      </c>
      <c r="E65" s="69">
        <f>-(E61*E64+E62*E64)</f>
        <v>-20347.2</v>
      </c>
      <c r="F65" s="69">
        <f>-(F61*F64+F62*F64)</f>
        <v>-20754.144</v>
      </c>
      <c r="G65" s="69">
        <f t="shared" si="1"/>
        <v>-21169.226880000006</v>
      </c>
      <c r="H65" s="69">
        <f t="shared" si="1"/>
        <v>-21592.611417600005</v>
      </c>
      <c r="I65" s="93">
        <f t="shared" si="1"/>
        <v>-22024.463645952004</v>
      </c>
      <c r="L65" s="3"/>
      <c r="M65" s="3"/>
      <c r="N65" s="3"/>
    </row>
    <row r="66" spans="2:14" x14ac:dyDescent="0.2">
      <c r="B66" s="5" t="s">
        <v>44</v>
      </c>
      <c r="C66" s="67"/>
      <c r="D66" s="117">
        <f t="shared" ref="D66:I66" si="2">D63+D65</f>
        <v>2014372.8</v>
      </c>
      <c r="E66" s="8">
        <f t="shared" si="2"/>
        <v>2014372.8</v>
      </c>
      <c r="F66" s="8">
        <f>F63+F65</f>
        <v>2054660.2560000001</v>
      </c>
      <c r="G66" s="8">
        <f t="shared" si="2"/>
        <v>2095753.4611200001</v>
      </c>
      <c r="H66" s="8">
        <f t="shared" si="2"/>
        <v>2137668.5303424001</v>
      </c>
      <c r="I66" s="6">
        <f t="shared" si="2"/>
        <v>2180421.9009492486</v>
      </c>
    </row>
    <row r="67" spans="2:14" x14ac:dyDescent="0.2">
      <c r="B67" s="4" t="s">
        <v>45</v>
      </c>
      <c r="C67" s="7"/>
      <c r="D67" s="114">
        <v>0</v>
      </c>
      <c r="E67" s="63">
        <f>L41</f>
        <v>5.3999999999999999E-2</v>
      </c>
      <c r="F67" s="63">
        <f>M41</f>
        <v>3.2000000000000001E-2</v>
      </c>
      <c r="G67" s="63">
        <f>N41</f>
        <v>2.8000000000000001E-2</v>
      </c>
      <c r="H67" s="63">
        <f>O41</f>
        <v>0.02</v>
      </c>
      <c r="I67" s="92">
        <f>H67</f>
        <v>0.02</v>
      </c>
      <c r="J67" s="20" t="s">
        <v>46</v>
      </c>
    </row>
    <row r="68" spans="2:14" x14ac:dyDescent="0.2">
      <c r="B68" s="4" t="s">
        <v>47</v>
      </c>
      <c r="C68" s="70"/>
      <c r="D68" s="115">
        <f>-E42*12*C14</f>
        <v>-42537.599999999991</v>
      </c>
      <c r="E68" s="64">
        <f>D68*(1+E67)</f>
        <v>-44834.630399999995</v>
      </c>
      <c r="F68" s="64">
        <f>E68*(1+F67)</f>
        <v>-46269.338572799992</v>
      </c>
      <c r="G68" s="64">
        <f>F68*(1+G67)</f>
        <v>-47564.880052838394</v>
      </c>
      <c r="H68" s="64">
        <f>G68*(1+H67)</f>
        <v>-48516.17765389516</v>
      </c>
      <c r="I68" s="71">
        <f>H68*(1+I67)</f>
        <v>-49486.501206973066</v>
      </c>
      <c r="J68" s="25" t="s">
        <v>91</v>
      </c>
    </row>
    <row r="69" spans="2:14" x14ac:dyDescent="0.2">
      <c r="B69" s="5" t="s">
        <v>48</v>
      </c>
      <c r="C69" s="67"/>
      <c r="D69" s="117">
        <f>D66+D68</f>
        <v>1971835.2</v>
      </c>
      <c r="E69" s="8">
        <f>E66-E68</f>
        <v>2059207.4304</v>
      </c>
      <c r="F69" s="8">
        <f>F66-F68</f>
        <v>2100929.5945728002</v>
      </c>
      <c r="G69" s="8">
        <f>G66-G68</f>
        <v>2143318.3411728386</v>
      </c>
      <c r="H69" s="8">
        <f>H66-H68</f>
        <v>2186184.7079962953</v>
      </c>
      <c r="I69" s="6">
        <f>I66-I68</f>
        <v>2229908.4021562217</v>
      </c>
    </row>
    <row r="70" spans="2:14" ht="25.5" x14ac:dyDescent="0.2">
      <c r="B70" s="72" t="s">
        <v>74</v>
      </c>
      <c r="C70" s="67"/>
      <c r="D70" s="117"/>
      <c r="E70" s="8"/>
      <c r="F70" s="64"/>
      <c r="G70" s="8"/>
      <c r="H70" s="8"/>
      <c r="I70" s="9"/>
    </row>
    <row r="71" spans="2:14" x14ac:dyDescent="0.2">
      <c r="B71" s="73" t="s">
        <v>49</v>
      </c>
      <c r="C71" s="74">
        <f>D54</f>
        <v>1.4999999999999999E-2</v>
      </c>
      <c r="D71" s="119"/>
      <c r="E71" s="75"/>
      <c r="F71" s="75"/>
      <c r="G71" s="75"/>
      <c r="H71" s="66">
        <f>I69/E46</f>
        <v>34306283.110095717</v>
      </c>
      <c r="I71" s="76"/>
    </row>
    <row r="72" spans="2:14" x14ac:dyDescent="0.2">
      <c r="B72" s="73" t="s">
        <v>0</v>
      </c>
      <c r="C72" s="65"/>
      <c r="D72" s="119"/>
      <c r="E72" s="75"/>
      <c r="F72" s="75"/>
      <c r="G72" s="75"/>
      <c r="H72" s="66">
        <f>H71*C71</f>
        <v>514594.24665143574</v>
      </c>
      <c r="I72" s="76"/>
    </row>
    <row r="73" spans="2:14" x14ac:dyDescent="0.2">
      <c r="B73" s="73" t="s">
        <v>50</v>
      </c>
      <c r="C73" s="77"/>
      <c r="D73" s="119"/>
      <c r="E73" s="75"/>
      <c r="F73" s="75"/>
      <c r="G73" s="75"/>
      <c r="H73" s="66">
        <f>H71-H72</f>
        <v>33791688.863444284</v>
      </c>
      <c r="I73" s="76"/>
    </row>
    <row r="74" spans="2:14" x14ac:dyDescent="0.2">
      <c r="B74" s="10" t="s">
        <v>51</v>
      </c>
      <c r="C74" s="11"/>
      <c r="D74" s="120">
        <f>D69+D70</f>
        <v>1971835.2</v>
      </c>
      <c r="E74" s="12">
        <f>E69+E70</f>
        <v>2059207.4304</v>
      </c>
      <c r="F74" s="12">
        <f>F69+F70</f>
        <v>2100929.5945728002</v>
      </c>
      <c r="G74" s="12">
        <f>G69+G70</f>
        <v>2143318.3411728386</v>
      </c>
      <c r="H74" s="12">
        <f>H69+H73</f>
        <v>35977873.571440578</v>
      </c>
      <c r="I74" s="76"/>
    </row>
    <row r="75" spans="2:14" x14ac:dyDescent="0.2">
      <c r="B75" s="4" t="s">
        <v>52</v>
      </c>
      <c r="C75" s="74">
        <f>E48</f>
        <v>8.4649999999999892E-2</v>
      </c>
      <c r="D75" s="119">
        <f>1/(1+$E$48)</f>
        <v>0.92195639146268393</v>
      </c>
      <c r="E75" s="75">
        <f>D75/(1+$E$48)</f>
        <v>0.85000358775889373</v>
      </c>
      <c r="F75" s="75">
        <f>E75/(1+$E$48)</f>
        <v>0.78366624050052447</v>
      </c>
      <c r="G75" s="75">
        <f>F75/(1+$E$48)</f>
        <v>0.72250609920299136</v>
      </c>
      <c r="H75" s="75">
        <f>G75/(1+$E$48)</f>
        <v>0.66611911603096985</v>
      </c>
      <c r="I75" s="76"/>
    </row>
    <row r="76" spans="2:14" x14ac:dyDescent="0.2">
      <c r="B76" s="5" t="s">
        <v>53</v>
      </c>
      <c r="C76" s="67"/>
      <c r="D76" s="121">
        <f>D74*D75</f>
        <v>1817946.0655510996</v>
      </c>
      <c r="E76" s="13">
        <f>E74*E75</f>
        <v>1750333.7037797724</v>
      </c>
      <c r="F76" s="13">
        <f>F74*F75</f>
        <v>1646427.5969351574</v>
      </c>
      <c r="G76" s="13">
        <f>G74*G75</f>
        <v>1548560.5740310138</v>
      </c>
      <c r="H76" s="13">
        <f>H74*H75</f>
        <v>23965549.34008199</v>
      </c>
      <c r="I76" s="78"/>
    </row>
    <row r="77" spans="2:14" x14ac:dyDescent="0.2">
      <c r="B77" s="10" t="s">
        <v>54</v>
      </c>
      <c r="C77" s="14">
        <f>NPV(C75,D74:H74)</f>
        <v>30728817.280379027</v>
      </c>
      <c r="D77" s="122"/>
      <c r="E77" s="15"/>
      <c r="F77" s="15"/>
      <c r="G77" s="15"/>
      <c r="H77" s="15"/>
      <c r="I77" s="78"/>
    </row>
    <row r="78" spans="2:14" ht="13.5" thickBot="1" x14ac:dyDescent="0.25">
      <c r="B78" s="16" t="s">
        <v>55</v>
      </c>
      <c r="C78" s="17">
        <f>ROUND(C77,-4)</f>
        <v>30730000</v>
      </c>
      <c r="D78" s="123">
        <f>C78/C14</f>
        <v>3034.1627172195895</v>
      </c>
      <c r="E78" s="79" t="s">
        <v>56</v>
      </c>
      <c r="F78" s="80"/>
      <c r="G78" s="79"/>
      <c r="H78" s="79"/>
      <c r="I78" s="81"/>
    </row>
    <row r="79" spans="2:14" ht="13.5" thickBot="1" x14ac:dyDescent="0.25">
      <c r="B79" s="16" t="s">
        <v>75</v>
      </c>
      <c r="C79" s="17">
        <f>ROUND(NPV(E48,D74:H74),-4)</f>
        <v>30730000</v>
      </c>
    </row>
    <row r="80" spans="2:14" x14ac:dyDescent="0.2">
      <c r="D80" s="27"/>
    </row>
    <row r="81" spans="2:24" x14ac:dyDescent="0.2">
      <c r="B81" s="20" t="s">
        <v>143</v>
      </c>
    </row>
    <row r="82" spans="2:24" ht="14.25" x14ac:dyDescent="0.2">
      <c r="B82" s="20" t="s">
        <v>17</v>
      </c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</row>
    <row r="83" spans="2:24" ht="14.25" x14ac:dyDescent="0.2">
      <c r="B83" s="20" t="s">
        <v>39</v>
      </c>
      <c r="K83" s="47"/>
      <c r="L83" s="82"/>
      <c r="M83" s="83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</row>
    <row r="84" spans="2:24" ht="14.25" x14ac:dyDescent="0.2">
      <c r="B84" s="20" t="s">
        <v>100</v>
      </c>
      <c r="I84" s="42"/>
      <c r="K84" s="47"/>
      <c r="L84" s="82"/>
      <c r="M84" s="82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</row>
    <row r="85" spans="2:24" ht="15" x14ac:dyDescent="0.25">
      <c r="D85" s="124"/>
      <c r="E85" s="94"/>
      <c r="F85" s="94"/>
      <c r="G85" s="94"/>
      <c r="K85" s="84"/>
      <c r="L85" s="85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</row>
    <row r="86" spans="2:24" ht="14.25" x14ac:dyDescent="0.2"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</row>
    <row r="87" spans="2:24" ht="14.25" x14ac:dyDescent="0.2">
      <c r="B87" s="20" t="str">
        <f>'VH_tulum_Variant 2'!B73</f>
        <v xml:space="preserve">Hinnatava vara (kaubanduskeskuse) turuväärtus diskonteeritud rahavoogude meetodil väärtuse kuupäeva (29.09.2025) seisuga on ca 20 680 000  eurot ehk ca 2 433 eurot hoone suletud netopinna kohta. </v>
      </c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</row>
    <row r="88" spans="2:24" ht="14.25" x14ac:dyDescent="0.2">
      <c r="K88" s="47"/>
      <c r="L88" s="47"/>
      <c r="M88" s="82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</row>
    <row r="89" spans="2:24" ht="14.25" x14ac:dyDescent="0.2">
      <c r="B89" s="19" t="s">
        <v>132</v>
      </c>
      <c r="K89" s="47"/>
      <c r="L89" s="47"/>
      <c r="M89" s="82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</row>
    <row r="90" spans="2:24" ht="14.25" x14ac:dyDescent="0.2">
      <c r="B90" s="20" t="s">
        <v>122</v>
      </c>
      <c r="K90" s="47"/>
      <c r="L90" s="47"/>
      <c r="M90" s="82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</row>
    <row r="91" spans="2:24" ht="14.25" x14ac:dyDescent="0.2">
      <c r="B91" s="20" t="s">
        <v>131</v>
      </c>
      <c r="K91" s="47"/>
      <c r="L91" s="47"/>
      <c r="M91" s="82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</row>
    <row r="92" spans="2:24" ht="14.25" x14ac:dyDescent="0.2">
      <c r="K92" s="47"/>
      <c r="L92" s="47"/>
      <c r="M92" s="82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</row>
    <row r="93" spans="2:24" ht="14.25" x14ac:dyDescent="0.2">
      <c r="K93" s="47"/>
      <c r="L93" s="47"/>
      <c r="M93" s="82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</row>
    <row r="94" spans="2:24" ht="14.25" x14ac:dyDescent="0.2">
      <c r="K94" s="47"/>
      <c r="L94" s="47"/>
      <c r="M94" s="82"/>
      <c r="N94" s="47"/>
      <c r="O94" s="47"/>
      <c r="P94" s="47"/>
      <c r="Q94" s="47"/>
      <c r="R94" s="47"/>
      <c r="S94" s="47"/>
      <c r="T94" s="47"/>
      <c r="U94" s="47"/>
      <c r="V94" s="86"/>
      <c r="W94" s="47"/>
      <c r="X94" s="47"/>
    </row>
    <row r="95" spans="2:24" ht="14.25" x14ac:dyDescent="0.2">
      <c r="K95" s="47"/>
      <c r="L95" s="47"/>
      <c r="M95" s="82"/>
      <c r="O95" s="47"/>
      <c r="P95" s="47"/>
      <c r="Q95" s="47"/>
      <c r="R95" s="47"/>
      <c r="S95" s="47"/>
      <c r="T95" s="47"/>
      <c r="U95" s="47"/>
      <c r="V95" s="47"/>
      <c r="W95" s="47"/>
      <c r="X95" s="47"/>
    </row>
    <row r="96" spans="2:24" ht="14.25" x14ac:dyDescent="0.2"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</row>
    <row r="97" spans="11:24" ht="14.25" x14ac:dyDescent="0.2"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</row>
    <row r="98" spans="11:24" ht="14.25" x14ac:dyDescent="0.2"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</row>
  </sheetData>
  <mergeCells count="3">
    <mergeCell ref="D2:J2"/>
    <mergeCell ref="B59:C59"/>
    <mergeCell ref="B8:G8"/>
  </mergeCells>
  <pageMargins left="0.7" right="0.7" top="0.75" bottom="0.75" header="0.3" footer="0.3"/>
  <pageSetup paperSize="9" orientation="portrait" r:id="rId1"/>
  <ignoredErrors>
    <ignoredError sqref="D33" twoDigitTextYea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CC31-D446-470C-86B1-DBE1274DD9A9}">
  <dimension ref="B2:X90"/>
  <sheetViews>
    <sheetView tabSelected="1" topLeftCell="A27" zoomScaleNormal="100" workbookViewId="0">
      <selection activeCell="H35" sqref="H35"/>
    </sheetView>
  </sheetViews>
  <sheetFormatPr defaultColWidth="9.140625" defaultRowHeight="12.75" x14ac:dyDescent="0.2"/>
  <cols>
    <col min="1" max="1" width="4.7109375" style="20" customWidth="1"/>
    <col min="2" max="2" width="33.7109375" style="20" customWidth="1"/>
    <col min="3" max="3" width="18" style="21" customWidth="1"/>
    <col min="4" max="4" width="11.42578125" style="21" customWidth="1"/>
    <col min="5" max="5" width="15.140625" style="21" customWidth="1"/>
    <col min="6" max="6" width="16.28515625" style="21" customWidth="1"/>
    <col min="7" max="7" width="18.140625" style="21" customWidth="1"/>
    <col min="8" max="8" width="17.28515625" style="21" customWidth="1"/>
    <col min="9" max="9" width="15.28515625" style="20" customWidth="1"/>
    <col min="10" max="13" width="11.28515625" style="20" customWidth="1"/>
    <col min="14" max="16384" width="9.140625" style="20"/>
  </cols>
  <sheetData>
    <row r="2" spans="2:12" ht="15.75" thickBot="1" x14ac:dyDescent="0.3">
      <c r="B2" s="19" t="s">
        <v>123</v>
      </c>
      <c r="H2" s="102"/>
      <c r="I2" s="103"/>
    </row>
    <row r="3" spans="2:12" ht="15" x14ac:dyDescent="0.25">
      <c r="B3" s="22"/>
      <c r="C3" s="23" t="s">
        <v>12</v>
      </c>
      <c r="D3" s="23" t="s">
        <v>16</v>
      </c>
      <c r="E3" s="24" t="s">
        <v>13</v>
      </c>
      <c r="F3" s="25" t="s">
        <v>81</v>
      </c>
      <c r="H3" s="102"/>
      <c r="I3" s="103"/>
    </row>
    <row r="4" spans="2:12" ht="15" x14ac:dyDescent="0.25">
      <c r="B4" s="26" t="s">
        <v>78</v>
      </c>
      <c r="C4" s="27">
        <v>8500</v>
      </c>
      <c r="E4" s="28"/>
      <c r="F4" s="25"/>
      <c r="H4" s="104"/>
      <c r="I4" s="87"/>
    </row>
    <row r="5" spans="2:12" x14ac:dyDescent="0.2">
      <c r="B5" s="26" t="s">
        <v>3</v>
      </c>
      <c r="C5" s="27">
        <f>C4*0.93</f>
        <v>7905</v>
      </c>
      <c r="E5" s="28"/>
      <c r="F5" s="25"/>
      <c r="H5" s="29"/>
    </row>
    <row r="6" spans="2:12" ht="15" x14ac:dyDescent="0.25">
      <c r="B6" s="26" t="s">
        <v>62</v>
      </c>
      <c r="C6" s="27"/>
      <c r="E6" s="28"/>
      <c r="F6" s="25"/>
      <c r="H6" s="102"/>
      <c r="I6" s="103"/>
    </row>
    <row r="7" spans="2:12" ht="15" x14ac:dyDescent="0.25">
      <c r="B7" s="26" t="s">
        <v>103</v>
      </c>
      <c r="C7" s="27">
        <f>C5*0.55</f>
        <v>4347.75</v>
      </c>
      <c r="D7" s="27"/>
      <c r="E7" s="28"/>
      <c r="F7" s="30"/>
      <c r="H7" s="102"/>
      <c r="I7" s="103"/>
    </row>
    <row r="8" spans="2:12" ht="15" x14ac:dyDescent="0.25">
      <c r="B8" s="26" t="s">
        <v>108</v>
      </c>
      <c r="C8" s="27">
        <v>1300</v>
      </c>
      <c r="D8" s="27"/>
      <c r="E8" s="28"/>
      <c r="F8" s="25"/>
      <c r="H8" s="102"/>
      <c r="I8" s="103"/>
    </row>
    <row r="9" spans="2:12" ht="15" x14ac:dyDescent="0.25">
      <c r="B9" s="26" t="s">
        <v>109</v>
      </c>
      <c r="C9" s="27">
        <v>1100</v>
      </c>
      <c r="E9" s="28"/>
      <c r="F9" s="25"/>
      <c r="H9" s="104"/>
      <c r="I9" s="87"/>
    </row>
    <row r="10" spans="2:12" x14ac:dyDescent="0.2">
      <c r="B10" s="26" t="s">
        <v>110</v>
      </c>
      <c r="C10" s="27">
        <f>C5-C7-C8-C9-C11</f>
        <v>857.25</v>
      </c>
      <c r="E10" s="28"/>
      <c r="F10" s="25"/>
      <c r="G10" s="31"/>
      <c r="H10" s="20"/>
      <c r="I10" s="105"/>
      <c r="J10" s="128"/>
    </row>
    <row r="11" spans="2:12" x14ac:dyDescent="0.2">
      <c r="B11" s="26" t="s">
        <v>111</v>
      </c>
      <c r="C11" s="27">
        <v>300</v>
      </c>
      <c r="E11" s="28"/>
      <c r="F11" s="25" t="s">
        <v>140</v>
      </c>
      <c r="G11" s="31"/>
      <c r="H11" s="20"/>
      <c r="I11" s="105"/>
      <c r="J11" s="128"/>
    </row>
    <row r="12" spans="2:12" x14ac:dyDescent="0.2">
      <c r="B12" s="26"/>
      <c r="C12" s="97"/>
      <c r="D12" s="20"/>
      <c r="E12" s="28"/>
      <c r="F12" s="25"/>
      <c r="G12" s="31"/>
      <c r="H12" s="106"/>
      <c r="I12" s="105"/>
    </row>
    <row r="13" spans="2:12" x14ac:dyDescent="0.2">
      <c r="B13" s="26" t="s">
        <v>4</v>
      </c>
      <c r="C13" s="96">
        <f>(C11)/C5</f>
        <v>3.7950664136622389E-2</v>
      </c>
      <c r="D13" s="21" t="s">
        <v>106</v>
      </c>
      <c r="E13" s="53">
        <f>C13</f>
        <v>3.7950664136622389E-2</v>
      </c>
      <c r="F13" s="25" t="s">
        <v>19</v>
      </c>
      <c r="G13" s="31"/>
      <c r="H13" s="20"/>
      <c r="J13" s="128"/>
    </row>
    <row r="14" spans="2:12" x14ac:dyDescent="0.2">
      <c r="B14" s="26"/>
      <c r="C14" s="95"/>
      <c r="E14" s="32"/>
      <c r="F14" s="25"/>
      <c r="G14" s="31"/>
      <c r="H14" s="19"/>
      <c r="I14" s="19"/>
      <c r="J14" s="129"/>
    </row>
    <row r="15" spans="2:12" x14ac:dyDescent="0.2">
      <c r="B15" s="36" t="s">
        <v>5</v>
      </c>
      <c r="E15" s="28"/>
      <c r="F15" s="25"/>
      <c r="H15" s="29" t="s">
        <v>144</v>
      </c>
    </row>
    <row r="16" spans="2:12" ht="15" x14ac:dyDescent="0.25">
      <c r="B16" s="38" t="s">
        <v>67</v>
      </c>
      <c r="C16" s="39">
        <f>C17*C7</f>
        <v>65216.25</v>
      </c>
      <c r="D16" s="125"/>
      <c r="E16" s="40"/>
      <c r="F16" s="25"/>
      <c r="H16" s="88">
        <f>E13</f>
        <v>3.7950664136622389E-2</v>
      </c>
      <c r="I16" s="89">
        <v>7</v>
      </c>
      <c r="J16" s="90" t="s">
        <v>73</v>
      </c>
      <c r="K16" s="106"/>
      <c r="L16" s="105"/>
    </row>
    <row r="17" spans="2:20" ht="15" x14ac:dyDescent="0.25">
      <c r="B17" s="26" t="s">
        <v>103</v>
      </c>
      <c r="C17" s="41">
        <v>15</v>
      </c>
      <c r="D17" s="110" t="s">
        <v>113</v>
      </c>
      <c r="E17" s="98">
        <f>C17</f>
        <v>15</v>
      </c>
      <c r="F17" s="25" t="s">
        <v>139</v>
      </c>
      <c r="H17" s="88">
        <v>1</v>
      </c>
      <c r="I17" s="89">
        <v>5</v>
      </c>
      <c r="J17" s="90" t="s">
        <v>112</v>
      </c>
      <c r="K17" s="106"/>
      <c r="L17" s="42"/>
    </row>
    <row r="18" spans="2:20" ht="15" x14ac:dyDescent="0.25">
      <c r="B18" s="26" t="s">
        <v>108</v>
      </c>
      <c r="C18" s="41">
        <v>14</v>
      </c>
      <c r="D18" s="110" t="s">
        <v>113</v>
      </c>
      <c r="E18" s="98">
        <f t="shared" ref="E18:E20" si="0">C18</f>
        <v>14</v>
      </c>
      <c r="F18" s="25" t="s">
        <v>146</v>
      </c>
      <c r="H18" s="132">
        <f>(H16*I16/12)+(H17*I17/12)</f>
        <v>0.43880455407969643</v>
      </c>
      <c r="I18" s="91"/>
      <c r="J18" s="90"/>
      <c r="K18" s="108"/>
    </row>
    <row r="19" spans="2:20" x14ac:dyDescent="0.2">
      <c r="B19" s="26" t="s">
        <v>109</v>
      </c>
      <c r="C19" s="41">
        <v>12.5</v>
      </c>
      <c r="D19" s="110" t="s">
        <v>113</v>
      </c>
      <c r="E19" s="98">
        <f t="shared" si="0"/>
        <v>12.5</v>
      </c>
      <c r="F19" s="25" t="s">
        <v>146</v>
      </c>
      <c r="H19" s="29" t="s">
        <v>141</v>
      </c>
    </row>
    <row r="20" spans="2:20" ht="15" x14ac:dyDescent="0.25">
      <c r="B20" s="26" t="s">
        <v>110</v>
      </c>
      <c r="C20" s="41">
        <v>18</v>
      </c>
      <c r="D20" s="109" t="s">
        <v>88</v>
      </c>
      <c r="E20" s="98">
        <f t="shared" si="0"/>
        <v>18</v>
      </c>
      <c r="F20" s="25" t="s">
        <v>19</v>
      </c>
      <c r="H20" s="88">
        <f>E13</f>
        <v>3.7950664136622389E-2</v>
      </c>
      <c r="I20" s="89">
        <v>11</v>
      </c>
      <c r="J20" s="90" t="s">
        <v>73</v>
      </c>
    </row>
    <row r="21" spans="2:20" ht="15" x14ac:dyDescent="0.25">
      <c r="B21" s="26" t="s">
        <v>111</v>
      </c>
      <c r="C21" s="41"/>
      <c r="D21" s="109" t="s">
        <v>88</v>
      </c>
      <c r="E21" s="28">
        <f>(15+20)/2</f>
        <v>17.5</v>
      </c>
      <c r="F21" s="25" t="s">
        <v>145</v>
      </c>
      <c r="H21" s="88">
        <v>1</v>
      </c>
      <c r="I21" s="89">
        <v>1</v>
      </c>
      <c r="J21" s="90" t="s">
        <v>112</v>
      </c>
    </row>
    <row r="22" spans="2:20" ht="15" x14ac:dyDescent="0.25">
      <c r="B22" s="131" t="s">
        <v>114</v>
      </c>
      <c r="C22" s="130">
        <f>C16+C8*C18+C9*C19+C10*C20+C11*E21</f>
        <v>117846.75</v>
      </c>
      <c r="E22" s="28"/>
      <c r="F22" s="25"/>
      <c r="H22" s="132">
        <f>(H20*I20/12)+(H21*I21/12)</f>
        <v>0.11812144212523717</v>
      </c>
      <c r="I22" s="91"/>
      <c r="J22" s="90"/>
    </row>
    <row r="23" spans="2:20" ht="15" x14ac:dyDescent="0.25">
      <c r="B23" s="26"/>
      <c r="E23" s="28"/>
      <c r="F23" s="25"/>
      <c r="H23" s="152" t="s">
        <v>117</v>
      </c>
      <c r="I23" s="153">
        <f>C5</f>
        <v>7905</v>
      </c>
      <c r="J23" s="154">
        <v>1</v>
      </c>
      <c r="K23" s="155"/>
      <c r="L23" s="156" t="s">
        <v>119</v>
      </c>
    </row>
    <row r="24" spans="2:20" ht="15" x14ac:dyDescent="0.25">
      <c r="B24" s="26" t="s">
        <v>107</v>
      </c>
      <c r="C24" s="97">
        <v>2.5000000000000001E-2</v>
      </c>
      <c r="D24" s="110" t="s">
        <v>22</v>
      </c>
      <c r="E24" s="127">
        <f>C24</f>
        <v>2.5000000000000001E-2</v>
      </c>
      <c r="F24" s="25" t="s">
        <v>19</v>
      </c>
      <c r="H24" s="152" t="s">
        <v>104</v>
      </c>
      <c r="I24" s="153">
        <f>C8</f>
        <v>1300</v>
      </c>
      <c r="J24" s="157">
        <f>I24*J23/I23</f>
        <v>0.1644528779253637</v>
      </c>
      <c r="K24" s="158">
        <f>H18</f>
        <v>0.43880455407969643</v>
      </c>
      <c r="L24" s="159">
        <f>K24*J24</f>
        <v>7.2162671765161973E-2</v>
      </c>
    </row>
    <row r="25" spans="2:20" ht="15" x14ac:dyDescent="0.25">
      <c r="B25" s="26"/>
      <c r="C25" s="35"/>
      <c r="E25" s="34"/>
      <c r="F25" s="25"/>
      <c r="H25" s="152" t="s">
        <v>142</v>
      </c>
      <c r="I25" s="153">
        <f>C11</f>
        <v>300</v>
      </c>
      <c r="J25" s="157">
        <f>I25*J23/I23</f>
        <v>3.7950664136622389E-2</v>
      </c>
      <c r="K25" s="158">
        <f>H22</f>
        <v>0.11812144212523717</v>
      </c>
      <c r="L25" s="159">
        <f>K25*J25</f>
        <v>4.4827871774283552E-3</v>
      </c>
    </row>
    <row r="26" spans="2:20" ht="15" x14ac:dyDescent="0.25">
      <c r="B26" s="26"/>
      <c r="D26" s="110"/>
      <c r="E26" s="28"/>
      <c r="F26" s="25"/>
      <c r="H26" s="152" t="s">
        <v>118</v>
      </c>
      <c r="I26" s="153">
        <f>I23-I24-I25</f>
        <v>6305</v>
      </c>
      <c r="J26" s="157">
        <f>I26*J23/I23</f>
        <v>0.79759645793801393</v>
      </c>
      <c r="K26" s="158">
        <f>E13</f>
        <v>3.7950664136622389E-2</v>
      </c>
      <c r="L26" s="159">
        <f>K26*J26</f>
        <v>3.0269315291765232E-2</v>
      </c>
      <c r="M26" s="20" t="s">
        <v>72</v>
      </c>
      <c r="O26" s="20">
        <v>2024</v>
      </c>
      <c r="P26" s="20">
        <v>2025</v>
      </c>
      <c r="Q26" s="20">
        <v>2026</v>
      </c>
      <c r="R26" s="20">
        <v>2027</v>
      </c>
      <c r="S26" s="20" t="s">
        <v>87</v>
      </c>
    </row>
    <row r="27" spans="2:20" x14ac:dyDescent="0.2">
      <c r="B27" s="36" t="s">
        <v>6</v>
      </c>
      <c r="D27" s="110"/>
      <c r="E27" s="28"/>
      <c r="F27" s="25"/>
      <c r="H27" s="160"/>
      <c r="I27" s="161"/>
      <c r="J27" s="161"/>
      <c r="K27" s="161"/>
      <c r="L27" s="162">
        <f>L26+L25+L24</f>
        <v>0.10691477423435555</v>
      </c>
      <c r="N27" s="42"/>
      <c r="O27" s="42">
        <v>3.5000000000000003E-2</v>
      </c>
      <c r="P27" s="42">
        <v>5.3999999999999999E-2</v>
      </c>
      <c r="Q27" s="42">
        <v>3.2000000000000001E-2</v>
      </c>
      <c r="R27" s="42">
        <v>2.8000000000000001E-2</v>
      </c>
      <c r="S27" s="42">
        <v>0.02</v>
      </c>
      <c r="T27" s="42"/>
    </row>
    <row r="28" spans="2:20" x14ac:dyDescent="0.2">
      <c r="B28" s="26" t="s">
        <v>7</v>
      </c>
      <c r="C28" s="27">
        <v>5700</v>
      </c>
      <c r="D28" s="110"/>
      <c r="E28" s="28"/>
      <c r="F28" s="25"/>
      <c r="O28" s="43"/>
      <c r="P28" s="43"/>
      <c r="Q28" s="43"/>
      <c r="R28" s="42"/>
    </row>
    <row r="29" spans="2:20" x14ac:dyDescent="0.2">
      <c r="B29" s="26" t="s">
        <v>8</v>
      </c>
      <c r="C29" s="27">
        <v>6851</v>
      </c>
      <c r="D29" s="110"/>
      <c r="E29" s="28"/>
      <c r="F29" s="25"/>
    </row>
    <row r="30" spans="2:20" x14ac:dyDescent="0.2">
      <c r="B30" s="26" t="s">
        <v>38</v>
      </c>
      <c r="C30" s="27">
        <v>6060</v>
      </c>
      <c r="D30" s="41">
        <f>(C28+C29+C30)/12/C4</f>
        <v>0.1824607843137255</v>
      </c>
      <c r="E30" s="28" t="s">
        <v>69</v>
      </c>
      <c r="F30" s="25"/>
    </row>
    <row r="31" spans="2:20" x14ac:dyDescent="0.2">
      <c r="B31" s="26" t="s">
        <v>18</v>
      </c>
      <c r="C31" s="27">
        <v>45000</v>
      </c>
      <c r="D31" s="41">
        <f>C31/12/C4</f>
        <v>0.44117647058823528</v>
      </c>
      <c r="E31" s="28" t="s">
        <v>69</v>
      </c>
      <c r="F31" s="20"/>
      <c r="G31" s="20"/>
    </row>
    <row r="32" spans="2:20" ht="15.75" thickBot="1" x14ac:dyDescent="0.3">
      <c r="B32" s="26"/>
      <c r="C32" s="20"/>
      <c r="D32" s="20"/>
      <c r="E32" s="44"/>
      <c r="F32" s="20"/>
      <c r="G32" s="20"/>
      <c r="K32" s="45"/>
      <c r="L32" s="46"/>
      <c r="M32" s="46"/>
      <c r="N32" s="46"/>
      <c r="O32" s="46"/>
    </row>
    <row r="33" spans="2:17" ht="15" thickBot="1" x14ac:dyDescent="0.25">
      <c r="B33" s="26" t="s">
        <v>15</v>
      </c>
      <c r="C33" s="27">
        <f>SUM(C28:C31)</f>
        <v>63611</v>
      </c>
      <c r="D33" s="110"/>
      <c r="E33" s="28"/>
      <c r="F33" s="165" t="s">
        <v>147</v>
      </c>
      <c r="G33" s="166" t="s">
        <v>27</v>
      </c>
      <c r="H33" s="167" t="s">
        <v>124</v>
      </c>
      <c r="K33" s="46"/>
      <c r="L33" s="49"/>
      <c r="M33" s="50"/>
      <c r="N33" s="46"/>
      <c r="O33" s="46"/>
      <c r="P33" s="47"/>
      <c r="Q33" s="47"/>
    </row>
    <row r="34" spans="2:17" ht="14.25" x14ac:dyDescent="0.2">
      <c r="B34" s="26" t="s">
        <v>9</v>
      </c>
      <c r="C34" s="48">
        <f>C33/C4/12</f>
        <v>0.62363725490196076</v>
      </c>
      <c r="D34" s="110" t="s">
        <v>124</v>
      </c>
      <c r="E34" s="134">
        <f>C34</f>
        <v>0.62363725490196076</v>
      </c>
      <c r="F34" s="25" t="s">
        <v>121</v>
      </c>
      <c r="J34" s="20" t="s">
        <v>125</v>
      </c>
      <c r="K34" s="142">
        <v>3.3000000000000002E-2</v>
      </c>
      <c r="L34" s="49"/>
      <c r="M34" s="49"/>
      <c r="N34" s="46"/>
      <c r="O34" s="46"/>
      <c r="P34" s="47"/>
      <c r="Q34" s="47"/>
    </row>
    <row r="35" spans="2:17" ht="15" x14ac:dyDescent="0.25">
      <c r="B35" s="26" t="s">
        <v>70</v>
      </c>
      <c r="C35" s="48"/>
      <c r="D35" s="20"/>
      <c r="E35" s="44" t="s">
        <v>71</v>
      </c>
      <c r="F35" s="20"/>
      <c r="J35" s="20" t="s">
        <v>126</v>
      </c>
      <c r="K35" s="142">
        <v>5.7500000000000002E-2</v>
      </c>
      <c r="L35" s="141"/>
      <c r="M35" s="46"/>
      <c r="N35" s="46"/>
      <c r="O35" s="46"/>
      <c r="P35" s="47"/>
      <c r="Q35" s="47"/>
    </row>
    <row r="36" spans="2:17" ht="14.25" x14ac:dyDescent="0.2">
      <c r="B36" s="26"/>
      <c r="D36" s="110"/>
      <c r="E36" s="28"/>
      <c r="F36" s="25"/>
      <c r="J36" s="19" t="s">
        <v>127</v>
      </c>
      <c r="K36" s="108">
        <f>(1+K35)*(1+K34)-1</f>
        <v>9.2397500000000132E-2</v>
      </c>
      <c r="L36" s="46"/>
      <c r="M36" s="46"/>
      <c r="N36" s="46"/>
      <c r="O36" s="46"/>
      <c r="P36" s="47"/>
      <c r="Q36" s="47"/>
    </row>
    <row r="37" spans="2:17" ht="14.25" x14ac:dyDescent="0.2">
      <c r="B37" s="26" t="s">
        <v>115</v>
      </c>
      <c r="C37" s="21" t="s">
        <v>116</v>
      </c>
      <c r="E37" s="33"/>
      <c r="F37" s="19" t="s">
        <v>21</v>
      </c>
      <c r="G37" s="20"/>
      <c r="H37" s="20"/>
      <c r="P37" s="47"/>
      <c r="Q37" s="47"/>
    </row>
    <row r="38" spans="2:17" ht="14.25" x14ac:dyDescent="0.2">
      <c r="B38" s="26"/>
      <c r="E38" s="28"/>
      <c r="F38" s="20" t="s">
        <v>23</v>
      </c>
      <c r="G38" s="20" t="s">
        <v>24</v>
      </c>
      <c r="H38" s="20" t="s">
        <v>25</v>
      </c>
      <c r="I38" s="20" t="s">
        <v>95</v>
      </c>
      <c r="K38" s="46"/>
      <c r="L38" s="46"/>
      <c r="M38" s="46"/>
      <c r="N38" s="46"/>
      <c r="O38" s="46"/>
      <c r="P38" s="47"/>
      <c r="Q38" s="47"/>
    </row>
    <row r="39" spans="2:17" ht="14.25" x14ac:dyDescent="0.2">
      <c r="B39" s="26"/>
      <c r="E39" s="28"/>
      <c r="F39" s="163" t="s">
        <v>26</v>
      </c>
      <c r="G39" s="163" t="s">
        <v>27</v>
      </c>
      <c r="H39" s="163" t="s">
        <v>33</v>
      </c>
      <c r="I39" s="164">
        <v>7.2499999999999995E-2</v>
      </c>
      <c r="J39" s="19" t="s">
        <v>35</v>
      </c>
      <c r="K39" s="46"/>
      <c r="L39" s="46"/>
      <c r="M39" s="49"/>
      <c r="N39" s="46"/>
      <c r="O39" s="46"/>
      <c r="P39" s="47"/>
      <c r="Q39" s="47"/>
    </row>
    <row r="40" spans="2:17" ht="14.25" x14ac:dyDescent="0.2">
      <c r="B40" s="36" t="s">
        <v>10</v>
      </c>
      <c r="D40" s="110"/>
      <c r="E40" s="28"/>
      <c r="F40" s="20" t="s">
        <v>28</v>
      </c>
      <c r="G40" s="20" t="s">
        <v>29</v>
      </c>
      <c r="H40" s="20" t="s">
        <v>34</v>
      </c>
      <c r="I40" s="100">
        <v>8.5000000000000006E-2</v>
      </c>
      <c r="K40" s="46"/>
      <c r="L40" s="46"/>
      <c r="M40" s="49"/>
      <c r="N40" s="46"/>
      <c r="O40" s="46"/>
      <c r="P40" s="47"/>
      <c r="Q40" s="47"/>
    </row>
    <row r="41" spans="2:17" ht="15.75" x14ac:dyDescent="0.3">
      <c r="B41" s="51" t="s">
        <v>76</v>
      </c>
      <c r="C41" s="52"/>
      <c r="D41" s="143">
        <v>7.2499999999999995E-2</v>
      </c>
      <c r="E41" s="53">
        <f>I45</f>
        <v>7.2499999999999995E-2</v>
      </c>
      <c r="F41" s="20" t="s">
        <v>28</v>
      </c>
      <c r="G41" s="55" t="s">
        <v>32</v>
      </c>
      <c r="H41" s="20" t="s">
        <v>96</v>
      </c>
      <c r="I41" s="100">
        <v>7.4999999999999997E-2</v>
      </c>
      <c r="K41" s="46"/>
      <c r="L41" s="46"/>
      <c r="M41" s="49"/>
      <c r="N41" s="46"/>
      <c r="Q41" s="47"/>
    </row>
    <row r="42" spans="2:17" ht="15.75" x14ac:dyDescent="0.3">
      <c r="B42" s="51"/>
      <c r="C42" s="54"/>
      <c r="D42" s="135"/>
      <c r="E42" s="53">
        <f>E41-0.5%</f>
        <v>6.7499999999999991E-2</v>
      </c>
      <c r="F42" s="20" t="s">
        <v>26</v>
      </c>
      <c r="G42" s="20" t="s">
        <v>31</v>
      </c>
      <c r="H42" s="20" t="s">
        <v>97</v>
      </c>
      <c r="I42" s="133">
        <v>6.5000000000000002E-2</v>
      </c>
      <c r="K42" s="46"/>
      <c r="L42" s="46"/>
      <c r="M42" s="49"/>
      <c r="N42" s="46"/>
      <c r="Q42" s="47"/>
    </row>
    <row r="43" spans="2:17" ht="16.5" thickBot="1" x14ac:dyDescent="0.35">
      <c r="B43" s="51" t="s">
        <v>11</v>
      </c>
      <c r="C43" s="52"/>
      <c r="D43" s="52"/>
      <c r="E43" s="53">
        <f>K36</f>
        <v>9.2397500000000132E-2</v>
      </c>
      <c r="F43" s="20" t="s">
        <v>28</v>
      </c>
      <c r="G43" s="20" t="s">
        <v>30</v>
      </c>
      <c r="H43" s="20" t="s">
        <v>98</v>
      </c>
      <c r="I43" s="100">
        <v>0.08</v>
      </c>
      <c r="K43" s="46"/>
      <c r="L43" s="46"/>
      <c r="M43" s="49"/>
      <c r="N43" s="46"/>
      <c r="Q43" s="47"/>
    </row>
    <row r="44" spans="2:17" ht="14.25" x14ac:dyDescent="0.2">
      <c r="B44" s="26" t="s">
        <v>128</v>
      </c>
      <c r="E44" s="53">
        <f>K36</f>
        <v>9.2397500000000132E-2</v>
      </c>
      <c r="F44" s="20" t="s">
        <v>28</v>
      </c>
      <c r="G44" s="20" t="s">
        <v>61</v>
      </c>
      <c r="H44" s="20" t="s">
        <v>99</v>
      </c>
      <c r="I44" s="100">
        <v>0.05</v>
      </c>
      <c r="K44" s="46"/>
      <c r="L44" s="46"/>
      <c r="M44" s="49"/>
      <c r="N44" s="46"/>
      <c r="O44" s="46"/>
      <c r="P44" s="47"/>
      <c r="Q44" s="47"/>
    </row>
    <row r="45" spans="2:17" ht="14.25" x14ac:dyDescent="0.2">
      <c r="B45" s="26"/>
      <c r="E45" s="28"/>
      <c r="F45" s="25"/>
      <c r="G45" s="20"/>
      <c r="H45" s="19" t="s">
        <v>21</v>
      </c>
      <c r="I45" s="101">
        <f>I39</f>
        <v>7.2499999999999995E-2</v>
      </c>
      <c r="K45" s="46"/>
      <c r="L45" s="46"/>
      <c r="M45" s="49"/>
      <c r="N45" s="46"/>
      <c r="O45" s="46"/>
      <c r="P45" s="47"/>
      <c r="Q45" s="47"/>
    </row>
    <row r="46" spans="2:17" ht="15" thickBot="1" x14ac:dyDescent="0.25">
      <c r="B46" s="56" t="s">
        <v>0</v>
      </c>
      <c r="C46" s="57"/>
      <c r="D46" s="111">
        <v>1.4999999999999999E-2</v>
      </c>
      <c r="E46" s="58"/>
      <c r="F46" s="29" t="s">
        <v>60</v>
      </c>
      <c r="K46" s="46"/>
      <c r="L46" s="46"/>
      <c r="M46" s="49"/>
      <c r="O46" s="46"/>
      <c r="P46" s="47"/>
      <c r="Q46" s="47"/>
    </row>
    <row r="47" spans="2:17" ht="14.25" x14ac:dyDescent="0.2">
      <c r="D47" s="112"/>
      <c r="F47" s="25"/>
      <c r="K47" s="46"/>
      <c r="L47" s="46"/>
      <c r="M47" s="46"/>
      <c r="N47" s="46"/>
      <c r="O47" s="46"/>
      <c r="P47" s="47"/>
      <c r="Q47" s="47"/>
    </row>
    <row r="48" spans="2:17" ht="14.25" x14ac:dyDescent="0.2">
      <c r="C48" s="35"/>
      <c r="L48" s="47"/>
      <c r="M48" s="47"/>
      <c r="N48" s="47"/>
      <c r="O48" s="47"/>
      <c r="P48" s="47"/>
      <c r="Q48" s="47"/>
    </row>
    <row r="49" spans="2:15" ht="13.5" thickBot="1" x14ac:dyDescent="0.25">
      <c r="B49" s="59"/>
      <c r="C49" s="59"/>
      <c r="D49" s="59"/>
      <c r="E49" s="59"/>
      <c r="F49" s="59"/>
      <c r="G49" s="59"/>
      <c r="H49" s="59"/>
    </row>
    <row r="50" spans="2:15" x14ac:dyDescent="0.2">
      <c r="B50" s="1" t="s">
        <v>40</v>
      </c>
      <c r="C50" s="60"/>
      <c r="D50" s="113"/>
      <c r="E50" s="60"/>
      <c r="F50" s="60"/>
      <c r="G50" s="60"/>
      <c r="H50" s="60"/>
      <c r="I50" s="61"/>
    </row>
    <row r="51" spans="2:15" x14ac:dyDescent="0.2">
      <c r="B51" s="146" t="s">
        <v>41</v>
      </c>
      <c r="C51" s="147"/>
      <c r="D51" s="136">
        <v>1</v>
      </c>
      <c r="E51" s="136">
        <f>D51+1</f>
        <v>2</v>
      </c>
      <c r="F51" s="62">
        <f>E51+1</f>
        <v>3</v>
      </c>
      <c r="G51" s="62">
        <f>F51+1</f>
        <v>4</v>
      </c>
      <c r="H51" s="62">
        <f>G51+1</f>
        <v>5</v>
      </c>
      <c r="I51" s="2">
        <f>H51+1</f>
        <v>6</v>
      </c>
      <c r="J51" s="20" t="s">
        <v>36</v>
      </c>
    </row>
    <row r="52" spans="2:15" x14ac:dyDescent="0.2">
      <c r="B52" s="4" t="s">
        <v>134</v>
      </c>
      <c r="C52" s="7"/>
      <c r="D52" s="114">
        <v>0</v>
      </c>
      <c r="E52" s="63">
        <f>C24</f>
        <v>2.5000000000000001E-2</v>
      </c>
      <c r="F52" s="63">
        <f>E52</f>
        <v>2.5000000000000001E-2</v>
      </c>
      <c r="G52" s="63">
        <f t="shared" ref="G52:I52" si="1">F52</f>
        <v>2.5000000000000001E-2</v>
      </c>
      <c r="H52" s="63">
        <f t="shared" si="1"/>
        <v>2.5000000000000001E-2</v>
      </c>
      <c r="I52" s="63">
        <f t="shared" si="1"/>
        <v>2.5000000000000001E-2</v>
      </c>
      <c r="J52" s="20" t="s">
        <v>94</v>
      </c>
    </row>
    <row r="53" spans="2:15" x14ac:dyDescent="0.2">
      <c r="B53" s="4" t="s">
        <v>133</v>
      </c>
      <c r="C53" s="7"/>
      <c r="D53" s="115">
        <f>C22*12</f>
        <v>1414161</v>
      </c>
      <c r="E53" s="64">
        <f>D53*(1+E52)</f>
        <v>1449515.0249999999</v>
      </c>
      <c r="F53" s="64">
        <f>E53*(1+F52)</f>
        <v>1485752.9006249998</v>
      </c>
      <c r="G53" s="64">
        <f>F53*(1+G52)</f>
        <v>1522896.7231406246</v>
      </c>
      <c r="H53" s="64">
        <f>G53*(1+H52)</f>
        <v>1560969.14121914</v>
      </c>
      <c r="I53" s="64">
        <f>H53*(1+I52)</f>
        <v>1599993.3697496185</v>
      </c>
    </row>
    <row r="54" spans="2:15" x14ac:dyDescent="0.2">
      <c r="B54" s="4"/>
      <c r="C54" s="7"/>
      <c r="D54" s="116"/>
      <c r="E54" s="66"/>
      <c r="F54" s="64"/>
      <c r="G54" s="64"/>
      <c r="H54" s="64"/>
      <c r="I54" s="64"/>
      <c r="L54" s="3"/>
      <c r="M54" s="3"/>
      <c r="N54" s="3"/>
    </row>
    <row r="55" spans="2:15" x14ac:dyDescent="0.2">
      <c r="B55" s="5" t="s">
        <v>42</v>
      </c>
      <c r="C55" s="67"/>
      <c r="D55" s="117">
        <f t="shared" ref="D55:I55" si="2">D53+D54</f>
        <v>1414161</v>
      </c>
      <c r="E55" s="8">
        <f t="shared" si="2"/>
        <v>1449515.0249999999</v>
      </c>
      <c r="F55" s="8">
        <f t="shared" si="2"/>
        <v>1485752.9006249998</v>
      </c>
      <c r="G55" s="8">
        <f t="shared" si="2"/>
        <v>1522896.7231406246</v>
      </c>
      <c r="H55" s="8">
        <f t="shared" si="2"/>
        <v>1560969.14121914</v>
      </c>
      <c r="I55" s="8">
        <f t="shared" si="2"/>
        <v>1599993.3697496185</v>
      </c>
      <c r="L55" s="3"/>
      <c r="M55" s="3"/>
      <c r="N55" s="3"/>
    </row>
    <row r="56" spans="2:15" s="19" customFormat="1" x14ac:dyDescent="0.2">
      <c r="B56" s="4" t="s">
        <v>135</v>
      </c>
      <c r="C56" s="68"/>
      <c r="D56" s="151">
        <f>L27</f>
        <v>0.10691477423435555</v>
      </c>
      <c r="E56" s="63">
        <f>E13</f>
        <v>3.7950664136622389E-2</v>
      </c>
      <c r="F56" s="63">
        <f>E56</f>
        <v>3.7950664136622389E-2</v>
      </c>
      <c r="G56" s="63">
        <f>F56</f>
        <v>3.7950664136622389E-2</v>
      </c>
      <c r="H56" s="63">
        <f>G56</f>
        <v>3.7950664136622389E-2</v>
      </c>
      <c r="I56" s="63">
        <f>H56</f>
        <v>3.7950664136622389E-2</v>
      </c>
      <c r="J56" s="20" t="s">
        <v>120</v>
      </c>
      <c r="K56" s="20"/>
      <c r="L56" s="3"/>
      <c r="M56" s="3"/>
      <c r="N56" s="3"/>
      <c r="O56" s="20"/>
    </row>
    <row r="57" spans="2:15" x14ac:dyDescent="0.2">
      <c r="B57" s="4" t="s">
        <v>43</v>
      </c>
      <c r="C57" s="68"/>
      <c r="D57" s="118">
        <f t="shared" ref="D57:I57" si="3">-(D53*D56+D54*D56)</f>
        <v>-151194.70404603047</v>
      </c>
      <c r="E57" s="69">
        <f t="shared" si="3"/>
        <v>-55010.057874762802</v>
      </c>
      <c r="F57" s="69">
        <f t="shared" si="3"/>
        <v>-56385.309321631867</v>
      </c>
      <c r="G57" s="69">
        <f t="shared" si="3"/>
        <v>-57794.942054672654</v>
      </c>
      <c r="H57" s="69">
        <f t="shared" si="3"/>
        <v>-59239.815606039469</v>
      </c>
      <c r="I57" s="93">
        <f t="shared" si="3"/>
        <v>-60720.810996190448</v>
      </c>
      <c r="L57" s="3"/>
      <c r="M57" s="3"/>
      <c r="N57" s="3"/>
    </row>
    <row r="58" spans="2:15" x14ac:dyDescent="0.2">
      <c r="B58" s="5" t="s">
        <v>44</v>
      </c>
      <c r="C58" s="67"/>
      <c r="D58" s="117">
        <f t="shared" ref="D58:I58" si="4">D55+D57</f>
        <v>1262966.2959539695</v>
      </c>
      <c r="E58" s="8">
        <f t="shared" si="4"/>
        <v>1394504.967125237</v>
      </c>
      <c r="F58" s="8">
        <f t="shared" si="4"/>
        <v>1429367.5913033679</v>
      </c>
      <c r="G58" s="8">
        <f t="shared" si="4"/>
        <v>1465101.781085952</v>
      </c>
      <c r="H58" s="8">
        <f t="shared" si="4"/>
        <v>1501729.3256131005</v>
      </c>
      <c r="I58" s="6">
        <f t="shared" si="4"/>
        <v>1539272.558753428</v>
      </c>
    </row>
    <row r="59" spans="2:15" x14ac:dyDescent="0.2">
      <c r="B59" s="4" t="s">
        <v>45</v>
      </c>
      <c r="C59" s="7"/>
      <c r="D59" s="114">
        <v>0</v>
      </c>
      <c r="E59" s="63">
        <f>P27</f>
        <v>5.3999999999999999E-2</v>
      </c>
      <c r="F59" s="63">
        <f>Q27</f>
        <v>3.2000000000000001E-2</v>
      </c>
      <c r="G59" s="63">
        <f>R27</f>
        <v>2.8000000000000001E-2</v>
      </c>
      <c r="H59" s="63">
        <f>S27</f>
        <v>0.02</v>
      </c>
      <c r="I59" s="92">
        <f>H59</f>
        <v>0.02</v>
      </c>
      <c r="J59" s="20" t="s">
        <v>46</v>
      </c>
    </row>
    <row r="60" spans="2:15" x14ac:dyDescent="0.2">
      <c r="B60" s="4" t="s">
        <v>47</v>
      </c>
      <c r="C60" s="70"/>
      <c r="D60" s="115">
        <f>-C33</f>
        <v>-63611</v>
      </c>
      <c r="E60" s="64">
        <f>D60*(1+E59)</f>
        <v>-67045.994000000006</v>
      </c>
      <c r="F60" s="64">
        <f>E60*(1+F59)</f>
        <v>-69191.465808000008</v>
      </c>
      <c r="G60" s="64">
        <f>F60*(1+G59)</f>
        <v>-71128.826850624013</v>
      </c>
      <c r="H60" s="64">
        <f>G60*(1+H59)</f>
        <v>-72551.403387636499</v>
      </c>
      <c r="I60" s="71">
        <f>H60*(1+I59)</f>
        <v>-74002.431455389233</v>
      </c>
      <c r="J60" s="25" t="s">
        <v>91</v>
      </c>
    </row>
    <row r="61" spans="2:15" x14ac:dyDescent="0.2">
      <c r="B61" s="5" t="s">
        <v>48</v>
      </c>
      <c r="C61" s="67"/>
      <c r="D61" s="117">
        <f>D58+D60</f>
        <v>1199355.2959539695</v>
      </c>
      <c r="E61" s="8">
        <f>E58-E60</f>
        <v>1461550.9611252369</v>
      </c>
      <c r="F61" s="8">
        <f>F58-F60</f>
        <v>1498559.0571113678</v>
      </c>
      <c r="G61" s="8">
        <f>G58-G60</f>
        <v>1536230.607936576</v>
      </c>
      <c r="H61" s="8">
        <f>H58-H60</f>
        <v>1574280.729000737</v>
      </c>
      <c r="I61" s="6">
        <f>I58-I60</f>
        <v>1613274.9902088172</v>
      </c>
    </row>
    <row r="62" spans="2:15" ht="25.5" x14ac:dyDescent="0.2">
      <c r="B62" s="72" t="s">
        <v>74</v>
      </c>
      <c r="C62" s="67"/>
      <c r="D62" s="117"/>
      <c r="E62" s="8"/>
      <c r="F62" s="64"/>
      <c r="G62" s="8"/>
      <c r="H62" s="8"/>
      <c r="I62" s="9"/>
    </row>
    <row r="63" spans="2:15" x14ac:dyDescent="0.2">
      <c r="B63" s="73" t="s">
        <v>49</v>
      </c>
      <c r="C63" s="74">
        <f>D46</f>
        <v>1.4999999999999999E-2</v>
      </c>
      <c r="D63" s="119"/>
      <c r="E63" s="75"/>
      <c r="F63" s="75"/>
      <c r="G63" s="75"/>
      <c r="H63" s="66">
        <f>I61/E42</f>
        <v>23900370.225315813</v>
      </c>
      <c r="I63" s="76"/>
    </row>
    <row r="64" spans="2:15" x14ac:dyDescent="0.2">
      <c r="B64" s="73" t="s">
        <v>0</v>
      </c>
      <c r="C64" s="65"/>
      <c r="D64" s="119"/>
      <c r="E64" s="75"/>
      <c r="F64" s="75"/>
      <c r="G64" s="75"/>
      <c r="H64" s="66">
        <f>H63*C63</f>
        <v>358505.55337973719</v>
      </c>
      <c r="I64" s="76"/>
    </row>
    <row r="65" spans="2:24" x14ac:dyDescent="0.2">
      <c r="B65" s="73" t="s">
        <v>50</v>
      </c>
      <c r="C65" s="77"/>
      <c r="D65" s="119"/>
      <c r="E65" s="75"/>
      <c r="F65" s="75"/>
      <c r="G65" s="75"/>
      <c r="H65" s="66">
        <f>H63-H64</f>
        <v>23541864.671936076</v>
      </c>
      <c r="I65" s="76"/>
    </row>
    <row r="66" spans="2:24" x14ac:dyDescent="0.2">
      <c r="B66" s="10" t="s">
        <v>51</v>
      </c>
      <c r="C66" s="11"/>
      <c r="D66" s="120">
        <f>D61+D62</f>
        <v>1199355.2959539695</v>
      </c>
      <c r="E66" s="12">
        <f>E61+E62</f>
        <v>1461550.9611252369</v>
      </c>
      <c r="F66" s="12">
        <f>F61+F62</f>
        <v>1498559.0571113678</v>
      </c>
      <c r="G66" s="12">
        <f>G61+G62</f>
        <v>1536230.607936576</v>
      </c>
      <c r="H66" s="12">
        <f>H61+H65</f>
        <v>25116145.400936812</v>
      </c>
      <c r="I66" s="76"/>
    </row>
    <row r="67" spans="2:24" x14ac:dyDescent="0.2">
      <c r="B67" s="4" t="s">
        <v>52</v>
      </c>
      <c r="C67" s="74">
        <f>E43</f>
        <v>9.2397500000000132E-2</v>
      </c>
      <c r="D67" s="119">
        <f>1/(1+$E$43)</f>
        <v>0.91541769365089165</v>
      </c>
      <c r="E67" s="75">
        <f>D67/(1+$E$43)</f>
        <v>0.83798955384911766</v>
      </c>
      <c r="F67" s="75">
        <f>E67/(1+$E$43)</f>
        <v>0.76711046468809896</v>
      </c>
      <c r="G67" s="75">
        <f>F67/(1+$E$43)</f>
        <v>0.70222649236024326</v>
      </c>
      <c r="H67" s="75">
        <f>G67/(1+$E$43)</f>
        <v>0.64283055605696937</v>
      </c>
      <c r="I67" s="76"/>
    </row>
    <row r="68" spans="2:24" x14ac:dyDescent="0.2">
      <c r="B68" s="5" t="s">
        <v>53</v>
      </c>
      <c r="C68" s="67"/>
      <c r="D68" s="121">
        <f>D66*D67</f>
        <v>1097911.0588901653</v>
      </c>
      <c r="E68" s="13">
        <f>E66*E67</f>
        <v>1224764.4378410864</v>
      </c>
      <c r="F68" s="13">
        <f>F66*F67</f>
        <v>1149560.3346632607</v>
      </c>
      <c r="G68" s="13">
        <f>G66*G67</f>
        <v>1078781.8312677459</v>
      </c>
      <c r="H68" s="13">
        <f>H66*H67</f>
        <v>16145425.714091904</v>
      </c>
      <c r="I68" s="78"/>
    </row>
    <row r="69" spans="2:24" x14ac:dyDescent="0.2">
      <c r="B69" s="10" t="s">
        <v>54</v>
      </c>
      <c r="C69" s="14">
        <f>NPV(C67,D66:H66)</f>
        <v>20696443.376754165</v>
      </c>
      <c r="D69" s="122"/>
      <c r="E69" s="15"/>
      <c r="F69" s="15"/>
      <c r="G69" s="15"/>
      <c r="H69" s="15"/>
      <c r="I69" s="78"/>
    </row>
    <row r="70" spans="2:24" ht="13.5" thickBot="1" x14ac:dyDescent="0.25">
      <c r="B70" s="16" t="s">
        <v>55</v>
      </c>
      <c r="C70" s="17">
        <f>ROUND(C69,-4)</f>
        <v>20700000</v>
      </c>
      <c r="D70" s="123">
        <f>C70/C4</f>
        <v>2435.294117647059</v>
      </c>
      <c r="E70" s="79" t="s">
        <v>56</v>
      </c>
      <c r="F70" s="80"/>
      <c r="G70" s="79"/>
      <c r="H70" s="79"/>
      <c r="I70" s="81"/>
    </row>
    <row r="71" spans="2:24" ht="13.5" thickBot="1" x14ac:dyDescent="0.25">
      <c r="B71" s="16" t="s">
        <v>75</v>
      </c>
      <c r="C71" s="17">
        <f>ROUND(NPV(E43,D66:H66),-4)</f>
        <v>20700000</v>
      </c>
    </row>
    <row r="72" spans="2:24" x14ac:dyDescent="0.2">
      <c r="D72" s="27"/>
    </row>
    <row r="73" spans="2:24" x14ac:dyDescent="0.2">
      <c r="B73" s="20" t="s">
        <v>130</v>
      </c>
    </row>
    <row r="74" spans="2:24" ht="14.25" x14ac:dyDescent="0.2">
      <c r="B74" s="20" t="s">
        <v>17</v>
      </c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</row>
    <row r="75" spans="2:24" ht="14.25" x14ac:dyDescent="0.2">
      <c r="B75" s="20" t="s">
        <v>39</v>
      </c>
      <c r="K75" s="47"/>
      <c r="L75" s="82"/>
      <c r="M75" s="83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</row>
    <row r="76" spans="2:24" ht="14.25" x14ac:dyDescent="0.2">
      <c r="B76" s="20" t="s">
        <v>100</v>
      </c>
      <c r="I76" s="42"/>
      <c r="K76" s="47"/>
      <c r="L76" s="82"/>
      <c r="M76" s="82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</row>
    <row r="77" spans="2:24" ht="15" x14ac:dyDescent="0.25">
      <c r="D77" s="124"/>
      <c r="E77" s="94"/>
      <c r="F77" s="94"/>
      <c r="G77" s="94"/>
      <c r="K77" s="84"/>
      <c r="L77" s="85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</row>
    <row r="78" spans="2:24" ht="14.25" x14ac:dyDescent="0.2"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</row>
    <row r="79" spans="2:24" ht="14.25" x14ac:dyDescent="0.2"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</row>
    <row r="80" spans="2:24" ht="14.25" x14ac:dyDescent="0.2">
      <c r="K80" s="47"/>
      <c r="L80" s="47"/>
      <c r="M80" s="82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</row>
    <row r="81" spans="11:24" ht="14.25" x14ac:dyDescent="0.2">
      <c r="K81" s="47"/>
      <c r="L81" s="47"/>
      <c r="M81" s="82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</row>
    <row r="82" spans="11:24" ht="14.25" x14ac:dyDescent="0.2">
      <c r="K82" s="47"/>
      <c r="L82" s="47"/>
      <c r="M82" s="82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</row>
    <row r="83" spans="11:24" ht="14.25" x14ac:dyDescent="0.2">
      <c r="K83" s="47"/>
      <c r="L83" s="47"/>
      <c r="M83" s="82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</row>
    <row r="84" spans="11:24" ht="14.25" x14ac:dyDescent="0.2">
      <c r="K84" s="47"/>
      <c r="L84" s="47"/>
      <c r="M84" s="82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</row>
    <row r="85" spans="11:24" ht="14.25" x14ac:dyDescent="0.2">
      <c r="K85" s="47"/>
      <c r="L85" s="47"/>
      <c r="M85" s="82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</row>
    <row r="86" spans="11:24" ht="14.25" x14ac:dyDescent="0.2">
      <c r="K86" s="47"/>
      <c r="L86" s="47"/>
      <c r="M86" s="82"/>
      <c r="N86" s="47"/>
      <c r="O86" s="47"/>
      <c r="P86" s="47"/>
      <c r="Q86" s="47"/>
      <c r="R86" s="47"/>
      <c r="S86" s="47"/>
      <c r="T86" s="47"/>
      <c r="U86" s="47"/>
      <c r="V86" s="86"/>
      <c r="W86" s="47"/>
      <c r="X86" s="47"/>
    </row>
    <row r="87" spans="11:24" ht="14.25" x14ac:dyDescent="0.2">
      <c r="K87" s="47"/>
      <c r="L87" s="47"/>
      <c r="M87" s="82"/>
      <c r="O87" s="47"/>
      <c r="P87" s="47"/>
      <c r="Q87" s="47"/>
      <c r="R87" s="47"/>
      <c r="S87" s="47"/>
      <c r="T87" s="47"/>
      <c r="U87" s="47"/>
      <c r="V87" s="47"/>
      <c r="W87" s="47"/>
      <c r="X87" s="47"/>
    </row>
    <row r="88" spans="11:24" ht="14.25" x14ac:dyDescent="0.2"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</row>
    <row r="89" spans="11:24" ht="14.25" x14ac:dyDescent="0.2"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</row>
    <row r="90" spans="11:24" ht="14.25" x14ac:dyDescent="0.2"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</row>
  </sheetData>
  <mergeCells count="1">
    <mergeCell ref="B51:C51"/>
  </mergeCells>
  <phoneticPr fontId="1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VH_tulum_Variant 1</vt:lpstr>
      <vt:lpstr>VH_tulum_Variant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 Soomuste</cp:lastModifiedBy>
  <cp:lastPrinted>2021-10-11T10:55:11Z</cp:lastPrinted>
  <dcterms:created xsi:type="dcterms:W3CDTF">2016-07-05T08:33:13Z</dcterms:created>
  <dcterms:modified xsi:type="dcterms:W3CDTF">2025-10-16T09:20:50Z</dcterms:modified>
</cp:coreProperties>
</file>