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ersti\Downloads\"/>
    </mc:Choice>
  </mc:AlternateContent>
  <xr:revisionPtr revIDLastSave="0" documentId="8_{AEA0162C-2066-45EF-ADE9-F78B2FCDEED0}" xr6:coauthVersionLast="47" xr6:coauthVersionMax="47" xr10:uidLastSave="{00000000-0000-0000-0000-000000000000}"/>
  <bookViews>
    <workbookView xWindow="25695" yWindow="0" windowWidth="26010" windowHeight="20985" tabRatio="727" xr2:uid="{00000000-000D-0000-FFFF-FFFF00000000}"/>
  </bookViews>
  <sheets>
    <sheet name="VH_tulumeetod_lahendus"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0" l="1"/>
  <c r="E116" i="10"/>
  <c r="F116" i="10"/>
  <c r="G116" i="10"/>
  <c r="H116" i="10"/>
  <c r="I116" i="10"/>
  <c r="D116" i="10"/>
  <c r="E117" i="10"/>
  <c r="D108" i="10"/>
  <c r="K50" i="10"/>
  <c r="H50" i="10"/>
  <c r="H48" i="10"/>
  <c r="H44" i="10"/>
  <c r="C44" i="10"/>
  <c r="C43" i="10"/>
  <c r="D98" i="10"/>
  <c r="C65" i="10"/>
  <c r="E66" i="10"/>
  <c r="E100" i="10"/>
  <c r="D99" i="10"/>
  <c r="D114" i="10"/>
  <c r="K49" i="10" l="1"/>
  <c r="K48" i="10"/>
  <c r="K45" i="10"/>
  <c r="K44" i="10"/>
  <c r="D102" i="10"/>
  <c r="D100" i="10"/>
  <c r="G114" i="10"/>
  <c r="F114" i="10"/>
  <c r="E114" i="10"/>
  <c r="G97" i="10"/>
  <c r="F97" i="10"/>
  <c r="E97" i="10"/>
  <c r="E99" i="10"/>
  <c r="E101" i="10"/>
  <c r="E102" i="10"/>
  <c r="I101" i="10"/>
  <c r="H101" i="10"/>
  <c r="G101" i="10"/>
  <c r="F101" i="10"/>
  <c r="D101" i="10"/>
  <c r="I99" i="10"/>
  <c r="H99" i="10"/>
  <c r="G99" i="10"/>
  <c r="F99" i="10"/>
  <c r="E62" i="10" l="1"/>
  <c r="C49" i="10" l="1"/>
  <c r="C68" i="10"/>
  <c r="L80" i="10"/>
  <c r="L81" i="10" s="1"/>
  <c r="E85" i="10" s="1"/>
  <c r="C122" i="10" s="1"/>
  <c r="E86" i="10" l="1"/>
  <c r="I90" i="10"/>
  <c r="E83" i="10" s="1"/>
  <c r="D122" i="10" l="1"/>
  <c r="E122" i="10" s="1"/>
  <c r="F122" i="10" l="1"/>
  <c r="G122" i="10" s="1"/>
  <c r="H122" i="10" s="1"/>
  <c r="H40" i="10"/>
  <c r="E44" i="10" l="1"/>
  <c r="E43" i="10"/>
  <c r="E41" i="10"/>
  <c r="E111" i="10" l="1"/>
  <c r="L45" i="10"/>
  <c r="H46" i="10"/>
  <c r="L44" i="10" s="1"/>
  <c r="F111" i="10"/>
  <c r="G111" i="10" s="1"/>
  <c r="H111" i="10" s="1"/>
  <c r="I111" i="10" s="1"/>
  <c r="F107" i="10"/>
  <c r="I40" i="10"/>
  <c r="J40" i="10" s="1"/>
  <c r="H31" i="10"/>
  <c r="H33" i="10" s="1"/>
  <c r="E107" i="10" s="1"/>
  <c r="H35" i="10"/>
  <c r="H38" i="10" s="1"/>
  <c r="I39" i="10" s="1"/>
  <c r="J39" i="10" s="1"/>
  <c r="J41" i="10" s="1"/>
  <c r="J42" i="10" s="1"/>
  <c r="D107" i="10"/>
  <c r="H114" i="10"/>
  <c r="I114" i="10" s="1"/>
  <c r="H103" i="10"/>
  <c r="I103" i="10" s="1"/>
  <c r="C61" i="10"/>
  <c r="H97" i="10"/>
  <c r="I97" i="10" s="1"/>
  <c r="D97" i="10"/>
  <c r="D37" i="10"/>
  <c r="D36" i="10"/>
  <c r="L48" i="10" l="1"/>
  <c r="L49" i="10"/>
  <c r="K46" i="10"/>
  <c r="E98" i="10"/>
  <c r="E108" i="10"/>
  <c r="E109" i="10" s="1"/>
  <c r="D110" i="10"/>
  <c r="D109" i="10"/>
  <c r="G107" i="10"/>
  <c r="F108" i="10"/>
  <c r="F109" i="10" s="1"/>
  <c r="D76" i="10"/>
  <c r="D75" i="10"/>
  <c r="F102" i="10"/>
  <c r="G102" i="10" s="1"/>
  <c r="H102" i="10" s="1"/>
  <c r="I102" i="10" s="1"/>
  <c r="E63" i="10"/>
  <c r="C52" i="10"/>
  <c r="C53" i="10"/>
  <c r="C118" i="10"/>
  <c r="E96" i="10"/>
  <c r="F96" i="10" s="1"/>
  <c r="G96" i="10" s="1"/>
  <c r="H96" i="10" s="1"/>
  <c r="I96" i="10" s="1"/>
  <c r="D111" i="10" l="1"/>
  <c r="D112" i="10" s="1"/>
  <c r="G109" i="10"/>
  <c r="H109" i="10" s="1"/>
  <c r="I109" i="10" s="1"/>
  <c r="E110" i="10"/>
  <c r="F110" i="10" s="1"/>
  <c r="G110" i="10" s="1"/>
  <c r="H110" i="10" s="1"/>
  <c r="I110" i="10" s="1"/>
  <c r="D104" i="10"/>
  <c r="F98" i="10"/>
  <c r="H107" i="10"/>
  <c r="G108" i="10"/>
  <c r="E52" i="10"/>
  <c r="E49" i="10"/>
  <c r="E58" i="10" s="1"/>
  <c r="C78" i="10"/>
  <c r="C57" i="10"/>
  <c r="D105" i="10" s="1"/>
  <c r="E105" i="10" s="1"/>
  <c r="E104" i="10" l="1"/>
  <c r="D106" i="10"/>
  <c r="C79" i="10"/>
  <c r="D115" i="10"/>
  <c r="E115" i="10" s="1"/>
  <c r="G98" i="10"/>
  <c r="I107" i="10"/>
  <c r="I108" i="10" s="1"/>
  <c r="H108" i="10"/>
  <c r="F105" i="10"/>
  <c r="G105" i="10" s="1"/>
  <c r="H105" i="10" s="1"/>
  <c r="I105" i="10" s="1"/>
  <c r="E106" i="10" l="1"/>
  <c r="E112" i="10"/>
  <c r="E113" i="10" s="1"/>
  <c r="F104" i="10"/>
  <c r="G104" i="10" s="1"/>
  <c r="H104" i="10" s="1"/>
  <c r="I104" i="10" s="1"/>
  <c r="D113" i="10"/>
  <c r="D121" i="10" s="1"/>
  <c r="D123" i="10" s="1"/>
  <c r="F100" i="10"/>
  <c r="G100" i="10" l="1"/>
  <c r="G106" i="10" s="1"/>
  <c r="F112" i="10"/>
  <c r="F106" i="10"/>
  <c r="F115" i="10"/>
  <c r="G115" i="10" l="1"/>
  <c r="H115" i="10" s="1"/>
  <c r="I115" i="10" s="1"/>
  <c r="H100" i="10"/>
  <c r="I100" i="10" s="1"/>
  <c r="G112" i="10"/>
  <c r="H98" i="10"/>
  <c r="H106" i="10" l="1"/>
  <c r="H112" i="10"/>
  <c r="I98" i="10"/>
  <c r="I106" i="10" l="1"/>
  <c r="I112" i="10"/>
  <c r="E121" i="10"/>
  <c r="E123" i="10" l="1"/>
  <c r="F113" i="10"/>
  <c r="G113" i="10" l="1"/>
  <c r="F121" i="10" l="1"/>
  <c r="H113" i="10"/>
  <c r="G121" i="10" l="1"/>
  <c r="G123" i="10" s="1"/>
  <c r="F123" i="10"/>
  <c r="I113" i="10"/>
  <c r="H118" i="10" l="1"/>
  <c r="H119" i="10" l="1"/>
  <c r="H120" i="10" s="1"/>
  <c r="H121" i="10" s="1"/>
  <c r="C126" i="10" l="1"/>
  <c r="C124" i="10"/>
  <c r="C125" i="10" s="1"/>
  <c r="D125" i="10" s="1"/>
  <c r="H12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Kersti</author>
    <author>Grete</author>
  </authors>
  <commentList>
    <comment ref="H39" authorId="0" shapeId="0" xr:uid="{00000000-0006-0000-0000-000001000000}">
      <text>
        <r>
          <rPr>
            <b/>
            <sz val="8"/>
            <color indexed="81"/>
            <rFont val="Tahoma"/>
            <family val="2"/>
          </rPr>
          <t>Kersti:</t>
        </r>
        <r>
          <rPr>
            <sz val="8"/>
            <color indexed="81"/>
            <rFont val="Tahoma"/>
            <family val="2"/>
          </rPr>
          <t xml:space="preserve">
Lisanduv pind</t>
        </r>
      </text>
    </comment>
    <comment ref="H40" authorId="0" shapeId="0" xr:uid="{00000000-0006-0000-0000-000002000000}">
      <text>
        <r>
          <rPr>
            <b/>
            <sz val="8"/>
            <color indexed="81"/>
            <rFont val="Tahoma"/>
            <family val="2"/>
          </rPr>
          <t>Kersti:</t>
        </r>
        <r>
          <rPr>
            <sz val="8"/>
            <color indexed="81"/>
            <rFont val="Tahoma"/>
            <family val="2"/>
          </rPr>
          <t xml:space="preserve">
Olemasolev pind</t>
        </r>
      </text>
    </comment>
    <comment ref="E98" authorId="0" shapeId="0" xr:uid="{00000000-0006-0000-0000-000003000000}">
      <text>
        <r>
          <rPr>
            <b/>
            <sz val="9"/>
            <color indexed="81"/>
            <rFont val="Tahoma"/>
            <family val="2"/>
          </rPr>
          <t>Kersti:</t>
        </r>
        <r>
          <rPr>
            <sz val="9"/>
            <color indexed="81"/>
            <rFont val="Tahoma"/>
            <family val="2"/>
          </rPr>
          <t xml:space="preserve">
ei indekseeri, kuna uus leping kokku lepitud. 
Pinda vähendatakse -500 m2</t>
        </r>
      </text>
    </comment>
    <comment ref="E100" authorId="1" shapeId="0" xr:uid="{00000000-0006-0000-0000-000005000000}">
      <text>
        <r>
          <rPr>
            <b/>
            <sz val="9"/>
            <color indexed="81"/>
            <rFont val="Tahoma"/>
            <family val="2"/>
          </rPr>
          <t>Grete:</t>
        </r>
        <r>
          <rPr>
            <sz val="9"/>
            <color indexed="81"/>
            <rFont val="Tahoma"/>
            <family val="2"/>
          </rPr>
          <t xml:space="preserve">
lisatud 500 ruutu lisapinda + vakantne pind</t>
        </r>
      </text>
    </comment>
    <comment ref="E107" authorId="0" shapeId="0" xr:uid="{00000000-0006-0000-0000-000007000000}">
      <text>
        <r>
          <rPr>
            <b/>
            <sz val="8"/>
            <color indexed="81"/>
            <rFont val="Tahoma"/>
            <family val="2"/>
          </rPr>
          <t>Kersti:</t>
        </r>
        <r>
          <rPr>
            <sz val="8"/>
            <color indexed="81"/>
            <rFont val="Tahoma"/>
            <family val="2"/>
          </rPr>
          <t xml:space="preserve">
Leping lõppeb esimese aasta lõpuga, remont ja vakantsus jääb 2. a algusesse, samuti pinna vähendus</t>
        </r>
      </text>
    </comment>
  </commentList>
</comments>
</file>

<file path=xl/sharedStrings.xml><?xml version="1.0" encoding="utf-8"?>
<sst xmlns="http://schemas.openxmlformats.org/spreadsheetml/2006/main" count="235" uniqueCount="193">
  <si>
    <t>Müügikulu</t>
  </si>
  <si>
    <t>VH tulumeetodi ülesanne</t>
  </si>
  <si>
    <t>NB! Alljärgnevalt on toodud üks võimalikest lahendusvariantidest</t>
  </si>
  <si>
    <t>Üürileantav pind, m2</t>
  </si>
  <si>
    <t>Hoone vakantsus</t>
  </si>
  <si>
    <t>Üüritulu</t>
  </si>
  <si>
    <t>Omanikukulud</t>
  </si>
  <si>
    <t>maamaks aastas, EUR</t>
  </si>
  <si>
    <t>kindlustus aastas, EUR</t>
  </si>
  <si>
    <t>omanikukulu EUR/m2/kuus</t>
  </si>
  <si>
    <t>Tulumäärad</t>
  </si>
  <si>
    <t>diskontomäär</t>
  </si>
  <si>
    <t>Hinnatav</t>
  </si>
  <si>
    <t>Valitud</t>
  </si>
  <si>
    <t>vakantsus</t>
  </si>
  <si>
    <t>omanikukulu kokku, EUR</t>
  </si>
  <si>
    <t>THI, max 3%</t>
  </si>
  <si>
    <t>Turg</t>
  </si>
  <si>
    <t>11-14</t>
  </si>
  <si>
    <t>Tulemus ei sisalda käibemaksu.</t>
  </si>
  <si>
    <t>kapitalikulu aastas, EUR</t>
  </si>
  <si>
    <t>valitud tegelik, kuna vastab turutasemele</t>
  </si>
  <si>
    <t>parkimiskohtade vakantsus on üldjuhul korrelatsioonis hoone vakantsusega</t>
  </si>
  <si>
    <t>Kapitalisatsioonimäär</t>
  </si>
  <si>
    <t>Väärtuse kuupäev 14.10.2024</t>
  </si>
  <si>
    <t xml:space="preserve">   büroo</t>
  </si>
  <si>
    <t>Parkimiskohtade arv hoone ees asuvas parklas</t>
  </si>
  <si>
    <t>parkimistulu kuus hoone ees, EUR</t>
  </si>
  <si>
    <t>parkimistasu hoone ees, EUR/koht/kuus</t>
  </si>
  <si>
    <t>30-50</t>
  </si>
  <si>
    <t>20-30</t>
  </si>
  <si>
    <t>1-3%</t>
  </si>
  <si>
    <t>büroo kuus, EUR</t>
  </si>
  <si>
    <t>büroo EUR/m2/kuus</t>
  </si>
  <si>
    <t>büroo üüri tõus</t>
  </si>
  <si>
    <t>Pakiautomaatide arv</t>
  </si>
  <si>
    <t>Üüritulu pakiautomaadist, EUR/kuus</t>
  </si>
  <si>
    <t>9,5-10,5%</t>
  </si>
  <si>
    <t>Asukoht</t>
  </si>
  <si>
    <t>Hoone tüüp</t>
  </si>
  <si>
    <t>Tehingu aeg</t>
  </si>
  <si>
    <t>Müügihind/NOI</t>
  </si>
  <si>
    <t>Kesklinn</t>
  </si>
  <si>
    <t>Kaubanduskeskus</t>
  </si>
  <si>
    <t>Äärelinn</t>
  </si>
  <si>
    <t>Tööstushoone</t>
  </si>
  <si>
    <t>Parkimismaja</t>
  </si>
  <si>
    <t>Q2 2023</t>
  </si>
  <si>
    <t>Q3 2023</t>
  </si>
  <si>
    <t>Ärihoone</t>
  </si>
  <si>
    <t>Stock-office</t>
  </si>
  <si>
    <t>Q1 2024</t>
  </si>
  <si>
    <t>Q2 2024</t>
  </si>
  <si>
    <t>Q4 2023</t>
  </si>
  <si>
    <t>Q3 2024</t>
  </si>
  <si>
    <t>Valime, sest hinnatav vara vastab sellele</t>
  </si>
  <si>
    <t>Kommentaar</t>
  </si>
  <si>
    <t xml:space="preserve">   </t>
  </si>
  <si>
    <t xml:space="preserve">vakantsus </t>
  </si>
  <si>
    <t>13-17</t>
  </si>
  <si>
    <t>0-5%</t>
  </si>
  <si>
    <t>halduskulud aastas, EUR</t>
  </si>
  <si>
    <t>0,5-0,8</t>
  </si>
  <si>
    <t>valitud tegelik, kuna vastab turutasemele; omanikukulud tõusevad vastavalt turu praktikale THI võrra</t>
  </si>
  <si>
    <t xml:space="preserve">Hinnatud tulemuse täpsusklass on antud turusegmendi jaoks keskmine ehk +/- 5%. </t>
  </si>
  <si>
    <t>Diskonteerimine:</t>
  </si>
  <si>
    <t>Aasta</t>
  </si>
  <si>
    <t>Potentsiaalne kogutulu (PGI), eur</t>
  </si>
  <si>
    <t>Vakantsus,eur</t>
  </si>
  <si>
    <t>Efektiivne kogutulu (EGI), eur</t>
  </si>
  <si>
    <t>Tegevuskulude kasv, %</t>
  </si>
  <si>
    <t>Tegevuskulude kasv on turul kasvanud samas tempos inflatsiooniga</t>
  </si>
  <si>
    <t>Tegevuskulud, eur</t>
  </si>
  <si>
    <t>Puhas tegevustulu (NOI), eur</t>
  </si>
  <si>
    <t>Müügihind, eur</t>
  </si>
  <si>
    <t>Müügitulu, eur</t>
  </si>
  <si>
    <t>Rahavoog, eur</t>
  </si>
  <si>
    <t>Diskontokordaja</t>
  </si>
  <si>
    <t>Diskonteeritud rahavood, eur</t>
  </si>
  <si>
    <t>Turuväärtus, eur</t>
  </si>
  <si>
    <t>Ümardatud turuväärtus, eur</t>
  </si>
  <si>
    <t>eur/SNPm2</t>
  </si>
  <si>
    <t>ankurüürniku üüritulu kasv, %</t>
  </si>
  <si>
    <t>ankurüürniku üüritulu, €</t>
  </si>
  <si>
    <t>büroo üüritulu kasv, %</t>
  </si>
  <si>
    <t>büroo üüritulu, €</t>
  </si>
  <si>
    <t>parkimistulu, €</t>
  </si>
  <si>
    <t>pakiautomaadi üüritulu, €</t>
  </si>
  <si>
    <t>Vakantsus büroo, %</t>
  </si>
  <si>
    <t>Vakantsus parkimine, %</t>
  </si>
  <si>
    <t>Vakantsus pakiautomaat, %</t>
  </si>
  <si>
    <t>Kaubanduspinnast kohandatakse pool bürooks, seega lisandub 1630 m2 büroopinda</t>
  </si>
  <si>
    <t>1) Parima kasutuse analüüs</t>
  </si>
  <si>
    <t>2) Turustatavuse analüüs</t>
  </si>
  <si>
    <t>3) Diskonteeritud rahavoogude meetod</t>
  </si>
  <si>
    <t>Kes on vara lõppkasutajad?</t>
  </si>
  <si>
    <t>Missugused on oodatavaid lõppkasutajaid iseloomustavad tunnused?</t>
  </si>
  <si>
    <t>Kas hinnatav vara rahuldab turusegmendi nõudeid?</t>
  </si>
  <si>
    <t>Kui suur osa lõppkasutajatest soovib hinnatavat vara?</t>
  </si>
  <si>
    <t>Kui suur osa lõppkasutajatest on võimeline antud vara soetama?</t>
  </si>
  <si>
    <t>Kui suur on konkureeriv pakkumine turul?</t>
  </si>
  <si>
    <t>Kui palju pinda on arendusprotsessis?</t>
  </si>
  <si>
    <t>Kui palju ja missuguse aja jooksul plaanitakse turule tuua konkureerivat pinda?</t>
  </si>
  <si>
    <t>Kui pikk on müügiperiood?</t>
  </si>
  <si>
    <t>Missugune on neelduvuse protsess?</t>
  </si>
  <si>
    <t>Missugused on oodatavad müügihinnad, rendihinnad ja vakants?</t>
  </si>
  <si>
    <t>Kas varal on alternatiivset kasutust ja kui suured on need riskid seoses alternatiivse kasutusega?</t>
  </si>
  <si>
    <t>Puuduvad</t>
  </si>
  <si>
    <t>Keskmise ja keskmisest suurema suurusega kinnisvarasse investeerivad ettevõtted</t>
  </si>
  <si>
    <t>Rahuldab suurel määral, kuivõrd tegemist on kesklinnas paikneva heas seisukorras ärihoonega</t>
  </si>
  <si>
    <t>Keeruline konkreetselt välja tuua, kuid hinnanguliselt keskmine või väiksem osa</t>
  </si>
  <si>
    <t>Konkureeriv pakkumine sisuliselt puudub</t>
  </si>
  <si>
    <t>Kuni 18 kuud</t>
  </si>
  <si>
    <t>Taoliste varade müügikulu on turul tavapäraselt olnud 1-2% müügihinnast</t>
  </si>
  <si>
    <t>Majutusasutus</t>
  </si>
  <si>
    <t xml:space="preserve">Teise aasta alguses (või esimese aasta lõpus?) lõpeb ankurüürniku üürileping ning teise aasta alguses toimuvad 1 kuu kestvad ümberehitustööd, pärast mida ankurüürniku pinnast 3260 m2 jääb järele 1630 m2-ne kaubanduspind ning ülejäänud 1630 m2 kohandatakse bürooks </t>
  </si>
  <si>
    <t xml:space="preserve">   kaubandus-teenindus</t>
  </si>
  <si>
    <t>sh</t>
  </si>
  <si>
    <t>parkimistasu maa-aluses parklas, EUR/koht/kuus</t>
  </si>
  <si>
    <t>parkimistulu kuus maa-aluses parklas, EUR/kuus</t>
  </si>
  <si>
    <t>Vakantsed parkimiskohad maa-aluses parklas</t>
  </si>
  <si>
    <t>Üüritulu pakiautomaadi eest, EUR/kuus</t>
  </si>
  <si>
    <t>ankurüürnik, büroo EUR/m2/kuus</t>
  </si>
  <si>
    <t>ankurüürnik, büroo, EUR/kuus</t>
  </si>
  <si>
    <t>ankurüürnik, büroo EUR/m2/kuus; uus määr</t>
  </si>
  <si>
    <t>ankurüürnik, üüri tõus</t>
  </si>
  <si>
    <t>kaubandus-teenindus kuus, EUR</t>
  </si>
  <si>
    <t>kaubandus-teenindus EUR/m2/kuus</t>
  </si>
  <si>
    <t>kaunbandus-teenindus üüri tõus</t>
  </si>
  <si>
    <t>EUR/m2/kuus</t>
  </si>
  <si>
    <t>Kulude kasv</t>
  </si>
  <si>
    <t>vastavalt THI'le</t>
  </si>
  <si>
    <t>THI prognoos</t>
  </si>
  <si>
    <t>max 3%</t>
  </si>
  <si>
    <t>Pind al 2.a</t>
  </si>
  <si>
    <t>THI, max 4%</t>
  </si>
  <si>
    <t>valitud tegelik, kuna vastab turutasemele; tõus vastavalt THI-le, max 4%, mis on kooskõlas turuga</t>
  </si>
  <si>
    <t>kaubandus-teenindus üüritulu kasv, %</t>
  </si>
  <si>
    <t>kaubandus-teenindus üüritulu, €</t>
  </si>
  <si>
    <t>Võime antennid välja ka jätta, jäävad siis automaadid ainult</t>
  </si>
  <si>
    <t>Piirkond: kesklinn</t>
  </si>
  <si>
    <t>Vakantsus ankurüürnik (büroo), %</t>
  </si>
  <si>
    <t>parkimis- ja pakiautomaaditulu kasv, %</t>
  </si>
  <si>
    <t xml:space="preserve">   vakantsus (büroo)</t>
  </si>
  <si>
    <t xml:space="preserve">   vakantsus (kaubandus-teenindus)</t>
  </si>
  <si>
    <t>4-7%</t>
  </si>
  <si>
    <t>5-8%</t>
  </si>
  <si>
    <t>Ankru vakantsi abiarvutus</t>
  </si>
  <si>
    <t>kuud üürnik sees</t>
  </si>
  <si>
    <t>kuud üürniku vaba, remont</t>
  </si>
  <si>
    <t>otsitakse üürnikku</t>
  </si>
  <si>
    <t>Vakantsus kaubandus-teenindus, %</t>
  </si>
  <si>
    <t>Büroopindade investeering (ankurüürniku pind)</t>
  </si>
  <si>
    <t>TV arvutatuna NPV valemit kasutades</t>
  </si>
  <si>
    <t>kap. määr hetkel</t>
  </si>
  <si>
    <t>kap.määr 5 aasta pärast</t>
  </si>
  <si>
    <t>7-9%</t>
  </si>
  <si>
    <t>Osakaal</t>
  </si>
  <si>
    <t>Kapitali hind</t>
  </si>
  <si>
    <t>Omakapitali tootluse soov</t>
  </si>
  <si>
    <t>Valime, sest hinnatav vara vastab sellele.</t>
  </si>
  <si>
    <t>Linnast väljas</t>
  </si>
  <si>
    <t>Eesti Panga statistika kohaselt on ärikinnisvara finantseerimisel keskmine LTV 55%. Ärikinnisvara projektide puhul on turul tavapärane laenu intressimäära fikseerimine ja turu keskmine fikseeritud intressimäär kümneks aastaks on 8,5%.</t>
  </si>
  <si>
    <t>WACC</t>
  </si>
  <si>
    <t>valitud olemasolev, kuna tähtajalist lepingut üles öelda ei saa, samas on teada, et lepingu lõppedes üürimäära korrigeeritakse turu tasemele vastavaks ning olemasolev üürnik jätkab</t>
  </si>
  <si>
    <r>
      <rPr>
        <b/>
        <sz val="10"/>
        <rFont val="Arial"/>
        <family val="2"/>
      </rPr>
      <t>Hoone</t>
    </r>
    <r>
      <rPr>
        <sz val="10"/>
        <rFont val="Arial"/>
        <family val="2"/>
      </rPr>
      <t xml:space="preserve"> SNP, m2</t>
    </r>
  </si>
  <si>
    <t xml:space="preserve">   ankurüürnik (büroo)</t>
  </si>
  <si>
    <r>
      <rPr>
        <b/>
        <sz val="10"/>
        <rFont val="Arial"/>
        <family val="2"/>
      </rPr>
      <t>Parkimiskohtade</t>
    </r>
    <r>
      <rPr>
        <sz val="10"/>
        <rFont val="Arial"/>
        <family val="2"/>
      </rPr>
      <t xml:space="preserve"> arv maa-aluses parklas</t>
    </r>
  </si>
  <si>
    <t>valitud tegelik, kuna vastab turutasemele; parkimistulu ei tõuse</t>
  </si>
  <si>
    <t>valitud vastavalt prognoositavale THI-le ja max määr vastavalt lepingule</t>
  </si>
  <si>
    <t>Lähtume olemasolevast tasemest, vastab turu tasemele</t>
  </si>
  <si>
    <t>Väärtuse kuupäeva seisuga ei ole lähiümbruses uusi samaväärseid pindasid arendusprotsessis ja taolisi sarnase asukohaga projekte ei ole ka lähiaastatel turule tulemas. Äärelinnas on hindamise hetkel arenduses 10 000 m2 üüritavat pinda, millest 80% moodustavad büroopinnad ning 20% kaubandus-teeninduspinnad, mis peaks valmima järgmise kahe aasta jooksul, kuid antud arendus ei ole asukohalt hinnatav varaga võrreldav.</t>
  </si>
  <si>
    <t>Neelduvus on väga hea/keskmine, kuivõrd nõudlus on sarnaste varade järgi ja pakkumine praktiliselt puudub</t>
  </si>
  <si>
    <t>Müügihinnad ca 1400 - 1800  EUR/m2.
Üürihinnad büroopindade üür on vahemikus 11-14 €/m2/kuus; kaubandus-teeninduspindade üür jääb vahemikku 13-17 €/m2/kuus.
Vakants heas seisukorras büroopindadel 4-7% ning heas seisukorras kaubandus-teeninduspindadel 5-8%</t>
  </si>
  <si>
    <t>Kommentaarid</t>
  </si>
  <si>
    <t>tegelik 0%, arvestatud hoone kesmist vastavalt turu tasemele (võimalikud maksehäired, mittelaekumised, üürniku vahetused)</t>
  </si>
  <si>
    <t>Teise aasta büroo vakantsi abiarvutus, lisanduv pind</t>
  </si>
  <si>
    <t>Parkimistulu ja automaatide tulu ei tõuse</t>
  </si>
  <si>
    <t>Hinnatava vara müügiperiood on kuni 18 kuud</t>
  </si>
  <si>
    <t xml:space="preserve">1) õiguslikult lubatud (vastavalt üldplaneeringule on tegemist ärimaa juhtotstarbega maa-alal paikneva varaga ning vastavalt detailplaneeringule on tegemist samuti ärimaa krundiga, mille osas on lubatud ehitusõigus täelikult realiseeritud), </t>
  </si>
  <si>
    <t xml:space="preserve">2) füüsiliselt võimalik (tegemist on ärihoonega, mille esimesel korrusel paikneb kaubandus-teeninduspind ning kõrgematel korrustel büroopinnad, hinnatavat vara on heas seisukorras ja seda on võimalik sihipäraselt kasutada), </t>
  </si>
  <si>
    <t xml:space="preserve">3) vajalikult põhjendatud (piirkonnas on suur nõudlus heas seisukorras büroo ja kaubandus-teeninduspindade järele) ning </t>
  </si>
  <si>
    <t>4) finantsmajanduslikult otstarbekas (finantsmajanduslikult alternatiivsed kasutused puuduvad). Sarnaseid varasid ostetakse eelkõige väljaüürimise ja investeerimise eesmärgil (pidades silmas eelkõige hoone suurust, kuid ka üürilepingute olemasolu).</t>
  </si>
  <si>
    <t xml:space="preserve">Parim kasutus on vara kõige tõenäolisem kasutus, mis on füüsiliselt võimalik, vajalikult põhjendatud, õiguslikult lubatav, finantsmajanduslikult otstarbekas ja mille tulemusena hinnatav vara omandab kõrgeima väärtuse. Arvestades teadaolevat informatsiooni, on hinnatava vara parimaks kasutuseks olemasolev ärikondlik kasutus ehk kasutamine kaubandus-teenindus ning büroopindadega ärihoonena, kuna see on: </t>
  </si>
  <si>
    <t>Antud varade ostjateks on keskmisest suuremad kohalikud või välismaised ettevõtted, kes investeerivad kinnisvarasse</t>
  </si>
  <si>
    <t>1. a vakantsus, büroo</t>
  </si>
  <si>
    <t>1. a vakantsus, kaubandus-teenindus</t>
  </si>
  <si>
    <t>Vakantsus kooskõlas hoone büroopindade (v.a ankurüürnik) vakantsusega</t>
  </si>
  <si>
    <t>Esimesel aastal võetus arvesse vakantsete pindade täituvuseks kuluva ajaga; Teisel aastal on vakants 20,6%, kuna toimuvad ümberehitustööd 2 kuud aega, muul ajal turutasemele vastav</t>
  </si>
  <si>
    <t>Esimesel aastal võetus arvesse vakantsete pindade täituvuseks kuluva ajaga; Teisel aastal on vakants 10,7%%, kuna uuele büroopinnale üürnike otsimiseks kulub keskmiselt 3 kuud (vaja veel arvutada)</t>
  </si>
  <si>
    <t xml:space="preserve">Esimesel aastal võetus arvesse vakantsete pindade täituvuseks kuluva ajaga; </t>
  </si>
  <si>
    <t>Pind 2000 m2 ja ehituskulu 300 €/m2 (turu madalam pool ning arvestatud on hinnatõusuga); Heas seisukorras büroopindade ümberehituseks ja siseviimistluse värskendamiseks on seni vastavalt turupraktikale kujunenud ligi 250-350 €/m2. Edasi prognoositakse 2024.aasta viimaseks kvartaliks ehitushindade kallinemist 20% tulenevalt kasvavast majanduskeskkonnast.</t>
  </si>
  <si>
    <r>
      <t xml:space="preserve">Hinnatava vara </t>
    </r>
    <r>
      <rPr>
        <b/>
        <sz val="10"/>
        <rFont val="Arial"/>
        <family val="2"/>
      </rPr>
      <t>turuväärtus</t>
    </r>
    <r>
      <rPr>
        <sz val="10"/>
        <rFont val="Arial"/>
        <family val="2"/>
      </rPr>
      <t xml:space="preserve"> diskonteeritud rahavoogude meetodil väärtuse kuupäeva (14.10.2024) seisuga on ca </t>
    </r>
    <r>
      <rPr>
        <b/>
        <sz val="10"/>
        <rFont val="Arial"/>
        <family val="2"/>
      </rPr>
      <t>12 250 000  eurot</t>
    </r>
    <r>
      <rPr>
        <sz val="10"/>
        <rFont val="Arial"/>
        <family val="2"/>
      </rPr>
      <t xml:space="preserve"> ehk ca 1 645 eurot hoone suletud netopinna kohta.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</si>
</sst>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
    <numFmt numFmtId="167" formatCode="0.0%"/>
    <numFmt numFmtId="168" formatCode="0.0000"/>
  </numFmts>
  <fonts count="17" x14ac:knownFonts="1">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font>
    <font>
      <sz val="9"/>
      <color indexed="81"/>
      <name val="Tahoma"/>
      <family val="2"/>
    </font>
    <font>
      <b/>
      <sz val="9"/>
      <color indexed="81"/>
      <name val="Tahoma"/>
      <family val="2"/>
    </font>
    <font>
      <b/>
      <sz val="10"/>
      <name val="Arial"/>
      <family val="2"/>
    </font>
    <font>
      <b/>
      <sz val="10"/>
      <color rgb="FFFF0000"/>
      <name val="Arial"/>
      <family val="2"/>
    </font>
    <font>
      <sz val="8"/>
      <color indexed="81"/>
      <name val="Tahoma"/>
      <family val="2"/>
    </font>
    <font>
      <b/>
      <sz val="8"/>
      <color indexed="81"/>
      <name val="Tahoma"/>
      <family val="2"/>
    </font>
    <font>
      <sz val="11"/>
      <name val="Calibri"/>
      <family val="2"/>
      <charset val="186"/>
      <scheme val="minor"/>
    </font>
    <font>
      <b/>
      <sz val="11"/>
      <name val="Arial"/>
      <family val="2"/>
    </font>
    <font>
      <sz val="11"/>
      <name val="Arial"/>
      <family val="2"/>
    </font>
    <font>
      <sz val="11"/>
      <name val="Arial"/>
      <family val="2"/>
      <charset val="186"/>
    </font>
    <font>
      <sz val="9.5"/>
      <name val="Open Sans"/>
      <family val="2"/>
      <charset val="186"/>
    </font>
    <font>
      <i/>
      <sz val="10"/>
      <name val="Arial"/>
      <family val="2"/>
    </font>
    <font>
      <b/>
      <sz val="11"/>
      <name val="Arial"/>
      <family val="2"/>
      <charset val="186"/>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CCDD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44">
    <xf numFmtId="0" fontId="0" fillId="0" borderId="0" xfId="0"/>
    <xf numFmtId="0" fontId="3" fillId="2" borderId="12" xfId="0" applyFont="1" applyFill="1" applyBorder="1" applyAlignment="1">
      <alignment horizontal="left" wrapText="1"/>
    </xf>
    <xf numFmtId="0" fontId="6" fillId="3" borderId="3" xfId="0" applyFont="1" applyFill="1" applyBorder="1"/>
    <xf numFmtId="0" fontId="6" fillId="4" borderId="13" xfId="2" applyFont="1" applyFill="1" applyBorder="1"/>
    <xf numFmtId="0" fontId="3" fillId="0" borderId="0" xfId="0" applyFont="1" applyAlignment="1">
      <alignment horizontal="center" wrapText="1"/>
    </xf>
    <xf numFmtId="0" fontId="3" fillId="4" borderId="14" xfId="2" applyFont="1" applyFill="1" applyBorder="1" applyAlignment="1">
      <alignment horizontal="right"/>
    </xf>
    <xf numFmtId="0" fontId="3" fillId="5" borderId="14" xfId="2" applyFont="1" applyFill="1" applyBorder="1" applyAlignment="1">
      <alignment horizontal="right"/>
    </xf>
    <xf numFmtId="0" fontId="6" fillId="4" borderId="14" xfId="2" applyFont="1" applyFill="1" applyBorder="1" applyAlignment="1">
      <alignment horizontal="right"/>
    </xf>
    <xf numFmtId="3" fontId="6" fillId="3" borderId="13" xfId="2" applyNumberFormat="1" applyFont="1" applyFill="1" applyBorder="1"/>
    <xf numFmtId="167" fontId="3" fillId="3" borderId="12" xfId="0" applyNumberFormat="1" applyFont="1" applyFill="1" applyBorder="1"/>
    <xf numFmtId="3" fontId="6" fillId="3" borderId="12" xfId="2" applyNumberFormat="1" applyFont="1" applyFill="1" applyBorder="1"/>
    <xf numFmtId="3" fontId="6" fillId="3" borderId="6" xfId="2" applyNumberFormat="1" applyFont="1" applyFill="1" applyBorder="1"/>
    <xf numFmtId="0" fontId="6" fillId="4" borderId="14" xfId="0" applyFont="1" applyFill="1" applyBorder="1" applyAlignment="1">
      <alignment horizontal="right"/>
    </xf>
    <xf numFmtId="9" fontId="6" fillId="0" borderId="12" xfId="0" applyNumberFormat="1" applyFont="1" applyBorder="1"/>
    <xf numFmtId="3" fontId="6" fillId="3" borderId="12" xfId="0" applyNumberFormat="1" applyFont="1" applyFill="1" applyBorder="1"/>
    <xf numFmtId="3" fontId="6" fillId="3" borderId="11" xfId="2" applyNumberFormat="1" applyFont="1" applyFill="1" applyBorder="1" applyAlignment="1">
      <alignment horizontal="right"/>
    </xf>
    <xf numFmtId="3" fontId="6" fillId="3" borderId="12" xfId="2" applyNumberFormat="1" applyFont="1" applyFill="1" applyBorder="1" applyAlignment="1">
      <alignment horizontal="right"/>
    </xf>
    <xf numFmtId="3" fontId="6" fillId="6" borderId="12" xfId="0" applyNumberFormat="1" applyFont="1" applyFill="1" applyBorder="1"/>
    <xf numFmtId="3" fontId="6" fillId="3" borderId="0" xfId="2" applyNumberFormat="1" applyFont="1" applyFill="1" applyAlignment="1">
      <alignment horizontal="right"/>
    </xf>
    <xf numFmtId="0" fontId="6" fillId="4" borderId="15" xfId="0" applyFont="1" applyFill="1" applyBorder="1" applyAlignment="1">
      <alignment horizontal="right"/>
    </xf>
    <xf numFmtId="3" fontId="6" fillId="6" borderId="16" xfId="0" applyNumberFormat="1" applyFont="1" applyFill="1" applyBorder="1"/>
    <xf numFmtId="0" fontId="7" fillId="0" borderId="0" xfId="0" applyFont="1"/>
    <xf numFmtId="0" fontId="6" fillId="0" borderId="0" xfId="0" applyFont="1"/>
    <xf numFmtId="0" fontId="3" fillId="0" borderId="0" xfId="0" applyFont="1"/>
    <xf numFmtId="0" fontId="3" fillId="0" borderId="0" xfId="0" applyFont="1" applyAlignment="1">
      <alignment horizontal="center"/>
    </xf>
    <xf numFmtId="0" fontId="3" fillId="0" borderId="3"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3" fillId="0" borderId="0" xfId="0" applyFont="1" applyAlignment="1">
      <alignment horizontal="left"/>
    </xf>
    <xf numFmtId="0" fontId="3" fillId="0" borderId="5" xfId="0" applyFont="1" applyBorder="1"/>
    <xf numFmtId="3" fontId="3" fillId="0" borderId="0" xfId="0" applyNumberFormat="1" applyFont="1" applyAlignment="1">
      <alignment horizontal="center"/>
    </xf>
    <xf numFmtId="0" fontId="3" fillId="0" borderId="6" xfId="0" applyFont="1" applyBorder="1" applyAlignment="1">
      <alignment horizontal="center"/>
    </xf>
    <xf numFmtId="0" fontId="6" fillId="0" borderId="0" xfId="0" applyFont="1" applyAlignment="1">
      <alignment horizontal="left"/>
    </xf>
    <xf numFmtId="9" fontId="3" fillId="0" borderId="0" xfId="1" applyFont="1" applyAlignment="1">
      <alignment horizontal="left"/>
    </xf>
    <xf numFmtId="0" fontId="6" fillId="0" borderId="0" xfId="0" applyFont="1" applyAlignment="1">
      <alignment horizontal="center"/>
    </xf>
    <xf numFmtId="167" fontId="3" fillId="0" borderId="6" xfId="0" applyNumberFormat="1" applyFont="1" applyBorder="1" applyAlignment="1">
      <alignment horizontal="center"/>
    </xf>
    <xf numFmtId="9" fontId="3" fillId="0" borderId="0" xfId="1" applyFont="1" applyBorder="1" applyAlignment="1">
      <alignment horizontal="center"/>
    </xf>
    <xf numFmtId="9" fontId="3" fillId="0" borderId="6" xfId="0" applyNumberFormat="1" applyFont="1" applyBorder="1" applyAlignment="1">
      <alignment horizontal="center"/>
    </xf>
    <xf numFmtId="168" fontId="3" fillId="0" borderId="0" xfId="0" applyNumberFormat="1" applyFont="1" applyAlignment="1">
      <alignment horizontal="center"/>
    </xf>
    <xf numFmtId="165" fontId="3" fillId="0" borderId="6" xfId="0" applyNumberFormat="1" applyFont="1" applyBorder="1" applyAlignment="1">
      <alignment horizontal="center"/>
    </xf>
    <xf numFmtId="165" fontId="3" fillId="0" borderId="0" xfId="0" applyNumberFormat="1" applyFont="1" applyAlignment="1">
      <alignment horizontal="center"/>
    </xf>
    <xf numFmtId="0" fontId="6" fillId="0" borderId="5" xfId="0" applyFont="1" applyBorder="1"/>
    <xf numFmtId="9" fontId="3" fillId="0" borderId="6" xfId="1" applyFont="1" applyBorder="1" applyAlignment="1">
      <alignment horizontal="center"/>
    </xf>
    <xf numFmtId="0" fontId="3" fillId="7" borderId="5" xfId="0" applyFont="1" applyFill="1" applyBorder="1"/>
    <xf numFmtId="3" fontId="3" fillId="7" borderId="0" xfId="0" applyNumberFormat="1" applyFont="1" applyFill="1" applyAlignment="1">
      <alignment horizontal="center"/>
    </xf>
    <xf numFmtId="49" fontId="3" fillId="7" borderId="0" xfId="0" applyNumberFormat="1" applyFont="1" applyFill="1" applyAlignment="1">
      <alignment horizontal="center"/>
    </xf>
    <xf numFmtId="0" fontId="3" fillId="7" borderId="6" xfId="0" applyFont="1" applyFill="1" applyBorder="1" applyAlignment="1">
      <alignment horizontal="center"/>
    </xf>
    <xf numFmtId="2" fontId="3" fillId="0" borderId="0" xfId="0" applyNumberFormat="1" applyFont="1" applyAlignment="1">
      <alignment horizontal="center"/>
    </xf>
    <xf numFmtId="49" fontId="3" fillId="0" borderId="0" xfId="0" applyNumberFormat="1" applyFont="1" applyAlignment="1">
      <alignment horizontal="center"/>
    </xf>
    <xf numFmtId="10" fontId="3" fillId="0" borderId="0" xfId="0" applyNumberFormat="1" applyFont="1"/>
    <xf numFmtId="9" fontId="3" fillId="0" borderId="0" xfId="0" applyNumberFormat="1" applyFont="1"/>
    <xf numFmtId="0" fontId="3" fillId="0" borderId="6" xfId="0" applyFont="1" applyBorder="1"/>
    <xf numFmtId="0" fontId="11" fillId="0" borderId="0" xfId="0" applyFont="1"/>
    <xf numFmtId="0" fontId="12" fillId="0" borderId="0" xfId="0" applyFont="1"/>
    <xf numFmtId="0" fontId="13" fillId="0" borderId="0" xfId="0" applyFont="1"/>
    <xf numFmtId="4" fontId="3" fillId="0" borderId="0" xfId="0" applyNumberFormat="1" applyFont="1" applyAlignment="1">
      <alignment horizontal="center"/>
    </xf>
    <xf numFmtId="9" fontId="12" fillId="0" borderId="0" xfId="0" applyNumberFormat="1" applyFont="1"/>
    <xf numFmtId="10" fontId="12" fillId="0" borderId="0" xfId="0" applyNumberFormat="1" applyFont="1"/>
    <xf numFmtId="0" fontId="11" fillId="2" borderId="0" xfId="0" applyFont="1" applyFill="1"/>
    <xf numFmtId="10" fontId="11" fillId="2" borderId="0" xfId="0" applyNumberFormat="1" applyFont="1" applyFill="1"/>
    <xf numFmtId="0" fontId="14" fillId="0" borderId="5" xfId="0" applyFont="1" applyBorder="1"/>
    <xf numFmtId="0" fontId="2" fillId="0" borderId="0" xfId="0" applyFont="1" applyAlignment="1">
      <alignment horizontal="center"/>
    </xf>
    <xf numFmtId="2" fontId="2" fillId="0" borderId="0" xfId="0" applyNumberFormat="1" applyFont="1" applyAlignment="1">
      <alignment horizontal="center"/>
    </xf>
    <xf numFmtId="10" fontId="3" fillId="0" borderId="6" xfId="0" applyNumberFormat="1" applyFont="1" applyBorder="1" applyAlignment="1">
      <alignment horizontal="center"/>
    </xf>
    <xf numFmtId="16" fontId="2" fillId="0" borderId="0" xfId="0" applyNumberFormat="1" applyFont="1" applyAlignment="1">
      <alignment horizontal="center"/>
    </xf>
    <xf numFmtId="49" fontId="2" fillId="0" borderId="0" xfId="0" applyNumberFormat="1" applyFont="1" applyAlignment="1">
      <alignment horizontal="center"/>
    </xf>
    <xf numFmtId="0" fontId="12" fillId="8" borderId="0" xfId="0" applyFont="1" applyFill="1"/>
    <xf numFmtId="9" fontId="12" fillId="8" borderId="0" xfId="0" applyNumberFormat="1" applyFont="1" applyFill="1"/>
    <xf numFmtId="0" fontId="15" fillId="0" borderId="0" xfId="0" applyFont="1"/>
    <xf numFmtId="0" fontId="3" fillId="2" borderId="0" xfId="0" applyFont="1" applyFill="1"/>
    <xf numFmtId="0" fontId="6" fillId="0" borderId="7" xfId="0" applyFont="1" applyBorder="1"/>
    <xf numFmtId="0" fontId="3" fillId="0" borderId="2" xfId="0" applyFont="1" applyBorder="1" applyAlignment="1">
      <alignment horizontal="center"/>
    </xf>
    <xf numFmtId="167" fontId="3" fillId="0" borderId="2" xfId="0" applyNumberFormat="1" applyFont="1" applyBorder="1" applyAlignment="1">
      <alignment horizontal="center"/>
    </xf>
    <xf numFmtId="0" fontId="3" fillId="0" borderId="8" xfId="0" applyFont="1" applyBorder="1" applyAlignment="1">
      <alignment horizontal="center"/>
    </xf>
    <xf numFmtId="9" fontId="3" fillId="0" borderId="0" xfId="0" applyNumberFormat="1" applyFont="1" applyAlignment="1">
      <alignment horizontal="center"/>
    </xf>
    <xf numFmtId="0" fontId="3" fillId="0" borderId="0" xfId="0" applyFont="1" applyAlignment="1">
      <alignment wrapText="1"/>
    </xf>
    <xf numFmtId="0" fontId="3" fillId="3" borderId="1" xfId="0" applyFont="1" applyFill="1" applyBorder="1"/>
    <xf numFmtId="0" fontId="3" fillId="3" borderId="4" xfId="0" applyFont="1" applyFill="1" applyBorder="1"/>
    <xf numFmtId="0" fontId="6" fillId="4" borderId="12" xfId="2" applyFont="1" applyFill="1" applyBorder="1"/>
    <xf numFmtId="167" fontId="3" fillId="3" borderId="12" xfId="1" applyNumberFormat="1" applyFont="1" applyFill="1" applyBorder="1"/>
    <xf numFmtId="3" fontId="3" fillId="3" borderId="12" xfId="2" applyNumberFormat="1" applyFont="1" applyFill="1" applyBorder="1"/>
    <xf numFmtId="167" fontId="3" fillId="0" borderId="12" xfId="0" applyNumberFormat="1" applyFont="1" applyBorder="1"/>
    <xf numFmtId="3" fontId="3" fillId="0" borderId="12" xfId="0" applyNumberFormat="1" applyFont="1" applyBorder="1"/>
    <xf numFmtId="3" fontId="3" fillId="3" borderId="12" xfId="0" applyNumberFormat="1" applyFont="1" applyFill="1" applyBorder="1"/>
    <xf numFmtId="3" fontId="3" fillId="3" borderId="13" xfId="0" applyNumberFormat="1" applyFont="1" applyFill="1" applyBorder="1"/>
    <xf numFmtId="0" fontId="3" fillId="3" borderId="12" xfId="0" applyFont="1" applyFill="1" applyBorder="1"/>
    <xf numFmtId="9" fontId="3" fillId="3" borderId="12" xfId="0" applyNumberFormat="1" applyFont="1" applyFill="1" applyBorder="1"/>
    <xf numFmtId="167" fontId="3" fillId="0" borderId="12" xfId="1" applyNumberFormat="1" applyFont="1" applyFill="1" applyBorder="1"/>
    <xf numFmtId="3" fontId="3" fillId="3" borderId="12" xfId="1" applyNumberFormat="1" applyFont="1" applyFill="1" applyBorder="1"/>
    <xf numFmtId="165" fontId="3" fillId="3" borderId="12" xfId="0" applyNumberFormat="1" applyFont="1" applyFill="1" applyBorder="1"/>
    <xf numFmtId="3" fontId="3" fillId="3" borderId="13" xfId="2" applyNumberFormat="1" applyFont="1" applyFill="1" applyBorder="1"/>
    <xf numFmtId="0" fontId="3" fillId="4" borderId="14" xfId="2" applyFont="1" applyFill="1" applyBorder="1" applyAlignment="1">
      <alignment horizontal="right" wrapText="1"/>
    </xf>
    <xf numFmtId="0" fontId="3" fillId="4" borderId="14" xfId="0" applyFont="1" applyFill="1" applyBorder="1" applyAlignment="1">
      <alignment horizontal="right"/>
    </xf>
    <xf numFmtId="10" fontId="3" fillId="0" borderId="12" xfId="0" applyNumberFormat="1" applyFont="1" applyBorder="1"/>
    <xf numFmtId="166" fontId="3" fillId="3" borderId="12" xfId="0" applyNumberFormat="1" applyFont="1" applyFill="1" applyBorder="1"/>
    <xf numFmtId="166" fontId="3" fillId="3" borderId="6" xfId="0" applyNumberFormat="1" applyFont="1" applyFill="1" applyBorder="1"/>
    <xf numFmtId="9" fontId="3" fillId="0" borderId="12" xfId="0" applyNumberFormat="1" applyFont="1" applyBorder="1"/>
    <xf numFmtId="3" fontId="3" fillId="3" borderId="6" xfId="2" applyNumberFormat="1" applyFont="1" applyFill="1" applyBorder="1"/>
    <xf numFmtId="3" fontId="3" fillId="3" borderId="2" xfId="0" applyNumberFormat="1" applyFont="1" applyFill="1" applyBorder="1" applyAlignment="1">
      <alignment horizontal="right"/>
    </xf>
    <xf numFmtId="0" fontId="3" fillId="3" borderId="2" xfId="0" applyFont="1" applyFill="1" applyBorder="1"/>
    <xf numFmtId="164" fontId="3" fillId="3" borderId="2" xfId="0" applyNumberFormat="1" applyFont="1" applyFill="1" applyBorder="1" applyAlignment="1">
      <alignment horizontal="left"/>
    </xf>
    <xf numFmtId="0" fontId="3" fillId="3" borderId="8" xfId="0" applyFont="1" applyFill="1" applyBorder="1"/>
    <xf numFmtId="9" fontId="13" fillId="0" borderId="0" xfId="0" applyNumberFormat="1" applyFont="1"/>
    <xf numFmtId="10" fontId="13" fillId="0" borderId="0" xfId="0" applyNumberFormat="1" applyFont="1"/>
    <xf numFmtId="0" fontId="16" fillId="0" borderId="0" xfId="0" applyFont="1"/>
    <xf numFmtId="10" fontId="16" fillId="0" borderId="0" xfId="0" applyNumberFormat="1" applyFont="1"/>
    <xf numFmtId="167" fontId="13" fillId="0" borderId="0" xfId="1" applyNumberFormat="1" applyFont="1"/>
    <xf numFmtId="0" fontId="10" fillId="0" borderId="0" xfId="0" applyFont="1"/>
    <xf numFmtId="10" fontId="10" fillId="9" borderId="0" xfId="1" applyNumberFormat="1" applyFont="1" applyFill="1"/>
    <xf numFmtId="0" fontId="10" fillId="9" borderId="0" xfId="0" applyFont="1" applyFill="1" applyAlignment="1">
      <alignment horizontal="center"/>
    </xf>
    <xf numFmtId="0" fontId="3" fillId="9" borderId="0" xfId="0" applyFont="1" applyFill="1"/>
    <xf numFmtId="167" fontId="6" fillId="9" borderId="0" xfId="1" applyNumberFormat="1" applyFont="1" applyFill="1" applyAlignment="1">
      <alignment horizontal="center"/>
    </xf>
    <xf numFmtId="0" fontId="10" fillId="9" borderId="0" xfId="0" applyFont="1" applyFill="1"/>
    <xf numFmtId="167" fontId="3" fillId="9" borderId="0" xfId="0" applyNumberFormat="1" applyFont="1" applyFill="1"/>
    <xf numFmtId="2" fontId="3" fillId="9" borderId="0" xfId="0" applyNumberFormat="1" applyFont="1" applyFill="1"/>
    <xf numFmtId="3" fontId="3" fillId="9" borderId="0" xfId="0" applyNumberFormat="1" applyFont="1" applyFill="1"/>
    <xf numFmtId="0" fontId="6" fillId="9" borderId="0" xfId="0" applyFont="1" applyFill="1"/>
    <xf numFmtId="167" fontId="6" fillId="9" borderId="0" xfId="1" applyNumberFormat="1" applyFont="1" applyFill="1"/>
    <xf numFmtId="167" fontId="3" fillId="3" borderId="13" xfId="1" applyNumberFormat="1" applyFont="1" applyFill="1" applyBorder="1"/>
    <xf numFmtId="167" fontId="3" fillId="3" borderId="13" xfId="0" applyNumberFormat="1" applyFont="1" applyFill="1" applyBorder="1"/>
    <xf numFmtId="3" fontId="3" fillId="3" borderId="13" xfId="1" applyNumberFormat="1" applyFont="1" applyFill="1" applyBorder="1"/>
    <xf numFmtId="0" fontId="3" fillId="0" borderId="0" xfId="0" applyFont="1" applyAlignment="1">
      <alignment horizontal="left" wrapText="1"/>
    </xf>
    <xf numFmtId="167" fontId="3" fillId="9" borderId="0" xfId="1" applyNumberFormat="1" applyFont="1" applyFill="1" applyAlignment="1">
      <alignment horizontal="center"/>
    </xf>
    <xf numFmtId="10" fontId="3" fillId="9" borderId="0" xfId="0" applyNumberFormat="1" applyFont="1" applyFill="1"/>
    <xf numFmtId="10" fontId="6" fillId="9" borderId="0" xfId="1" applyNumberFormat="1" applyFont="1" applyFill="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wrapText="1"/>
    </xf>
    <xf numFmtId="0" fontId="6" fillId="4" borderId="10" xfId="2" applyFont="1" applyFill="1" applyBorder="1" applyAlignment="1">
      <alignment horizontal="right"/>
    </xf>
    <xf numFmtId="0" fontId="6" fillId="4" borderId="11" xfId="2" applyFont="1" applyFill="1" applyBorder="1" applyAlignment="1">
      <alignment horizontal="right"/>
    </xf>
    <xf numFmtId="0" fontId="3" fillId="0" borderId="12"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0" fontId="3" fillId="0" borderId="17"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wrapText="1"/>
    </xf>
    <xf numFmtId="0" fontId="3" fillId="0" borderId="0" xfId="0" applyFont="1" applyAlignment="1">
      <alignment horizontal="center" wrapText="1"/>
    </xf>
    <xf numFmtId="167" fontId="3" fillId="10" borderId="0" xfId="1" applyNumberFormat="1" applyFont="1" applyFill="1" applyBorder="1" applyAlignment="1">
      <alignment horizontal="center"/>
    </xf>
    <xf numFmtId="0" fontId="10" fillId="10" borderId="0" xfId="0" applyFont="1" applyFill="1" applyAlignment="1">
      <alignment horizontal="center"/>
    </xf>
    <xf numFmtId="3" fontId="6" fillId="10" borderId="12" xfId="2" applyNumberFormat="1" applyFont="1" applyFill="1" applyBorder="1"/>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CCCDD5"/>
      <color rgb="FF0975A2"/>
      <color rgb="FF4A4A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145"/>
  <sheetViews>
    <sheetView tabSelected="1" topLeftCell="A77" zoomScale="80" zoomScaleNormal="80" workbookViewId="0">
      <selection activeCell="B129" sqref="B129"/>
    </sheetView>
  </sheetViews>
  <sheetFormatPr defaultColWidth="9.140625" defaultRowHeight="12.75" x14ac:dyDescent="0.2"/>
  <cols>
    <col min="1" max="1" width="4.5703125" style="23" customWidth="1"/>
    <col min="2" max="2" width="33.5703125" style="23" customWidth="1"/>
    <col min="3" max="3" width="18" style="24" customWidth="1"/>
    <col min="4" max="4" width="11.42578125" style="24" customWidth="1"/>
    <col min="5" max="5" width="15.140625" style="24" customWidth="1"/>
    <col min="6" max="6" width="16.42578125" style="24" customWidth="1"/>
    <col min="7" max="7" width="18.140625" style="24" customWidth="1"/>
    <col min="8" max="8" width="17.140625" style="24" customWidth="1"/>
    <col min="9" max="9" width="15.140625" style="23" customWidth="1"/>
    <col min="10" max="10" width="23.42578125" style="23" customWidth="1"/>
    <col min="11" max="11" width="30.5703125" style="23" customWidth="1"/>
    <col min="12" max="16384" width="9.140625" style="23"/>
  </cols>
  <sheetData>
    <row r="2" spans="2:10" x14ac:dyDescent="0.2">
      <c r="B2" s="22" t="s">
        <v>1</v>
      </c>
      <c r="D2" s="125"/>
      <c r="E2" s="126"/>
      <c r="F2" s="126"/>
      <c r="G2" s="126"/>
      <c r="H2" s="126"/>
      <c r="I2" s="126"/>
      <c r="J2" s="126"/>
    </row>
    <row r="3" spans="2:10" x14ac:dyDescent="0.2">
      <c r="B3" s="23" t="s">
        <v>24</v>
      </c>
    </row>
    <row r="5" spans="2:10" x14ac:dyDescent="0.2">
      <c r="B5" s="21" t="s">
        <v>2</v>
      </c>
    </row>
    <row r="6" spans="2:10" x14ac:dyDescent="0.2">
      <c r="B6" s="22"/>
    </row>
    <row r="7" spans="2:10" x14ac:dyDescent="0.2">
      <c r="B7" s="22" t="s">
        <v>92</v>
      </c>
    </row>
    <row r="8" spans="2:10" ht="60.95" customHeight="1" x14ac:dyDescent="0.2">
      <c r="B8" s="127" t="s">
        <v>183</v>
      </c>
      <c r="C8" s="127"/>
      <c r="D8" s="127"/>
      <c r="E8" s="127"/>
      <c r="F8" s="127"/>
      <c r="G8" s="127"/>
    </row>
    <row r="9" spans="2:10" ht="32.450000000000003" customHeight="1" x14ac:dyDescent="0.2">
      <c r="B9" s="127" t="s">
        <v>179</v>
      </c>
      <c r="C9" s="127"/>
      <c r="D9" s="127"/>
      <c r="E9" s="127"/>
      <c r="F9" s="127"/>
      <c r="G9" s="127"/>
    </row>
    <row r="10" spans="2:10" ht="37.5" customHeight="1" x14ac:dyDescent="0.2">
      <c r="B10" s="127" t="s">
        <v>180</v>
      </c>
      <c r="C10" s="127"/>
      <c r="D10" s="127"/>
      <c r="E10" s="127"/>
      <c r="F10" s="127"/>
      <c r="G10" s="127"/>
    </row>
    <row r="11" spans="2:10" x14ac:dyDescent="0.2">
      <c r="B11" s="127" t="s">
        <v>181</v>
      </c>
      <c r="C11" s="127"/>
      <c r="D11" s="127"/>
      <c r="E11" s="127"/>
      <c r="F11" s="127"/>
      <c r="G11" s="127"/>
    </row>
    <row r="12" spans="2:10" ht="32.450000000000003" customHeight="1" x14ac:dyDescent="0.2">
      <c r="B12" s="127" t="s">
        <v>182</v>
      </c>
      <c r="C12" s="127"/>
      <c r="D12" s="127"/>
      <c r="E12" s="127"/>
      <c r="F12" s="127"/>
      <c r="G12" s="127"/>
    </row>
    <row r="13" spans="2:10" x14ac:dyDescent="0.2">
      <c r="B13" s="121"/>
      <c r="C13" s="121"/>
      <c r="D13" s="121"/>
      <c r="E13" s="121"/>
      <c r="F13" s="121"/>
      <c r="G13" s="121"/>
    </row>
    <row r="14" spans="2:10" x14ac:dyDescent="0.2">
      <c r="B14" s="22"/>
    </row>
    <row r="15" spans="2:10" x14ac:dyDescent="0.2">
      <c r="B15" s="22" t="s">
        <v>93</v>
      </c>
    </row>
    <row r="16" spans="2:10" x14ac:dyDescent="0.2">
      <c r="B16" s="22"/>
    </row>
    <row r="17" spans="2:10" ht="45.95" customHeight="1" x14ac:dyDescent="0.2">
      <c r="B17" s="1" t="s">
        <v>95</v>
      </c>
      <c r="C17" s="130" t="s">
        <v>184</v>
      </c>
      <c r="D17" s="130"/>
      <c r="E17" s="130"/>
    </row>
    <row r="18" spans="2:10" ht="43.7" customHeight="1" x14ac:dyDescent="0.2">
      <c r="B18" s="1" t="s">
        <v>96</v>
      </c>
      <c r="C18" s="130" t="s">
        <v>108</v>
      </c>
      <c r="D18" s="130"/>
      <c r="E18" s="130"/>
    </row>
    <row r="19" spans="2:10" ht="43.35" customHeight="1" x14ac:dyDescent="0.2">
      <c r="B19" s="1" t="s">
        <v>97</v>
      </c>
      <c r="C19" s="130" t="s">
        <v>109</v>
      </c>
      <c r="D19" s="130"/>
      <c r="E19" s="130"/>
    </row>
    <row r="20" spans="2:10" ht="25.5" x14ac:dyDescent="0.2">
      <c r="B20" s="1" t="s">
        <v>98</v>
      </c>
      <c r="C20" s="130" t="s">
        <v>110</v>
      </c>
      <c r="D20" s="130"/>
      <c r="E20" s="130"/>
    </row>
    <row r="21" spans="2:10" ht="26.45" customHeight="1" x14ac:dyDescent="0.2">
      <c r="B21" s="1" t="s">
        <v>99</v>
      </c>
      <c r="C21" s="130" t="s">
        <v>110</v>
      </c>
      <c r="D21" s="130"/>
      <c r="E21" s="130"/>
    </row>
    <row r="22" spans="2:10" ht="25.5" x14ac:dyDescent="0.2">
      <c r="B22" s="1" t="s">
        <v>100</v>
      </c>
      <c r="C22" s="130" t="s">
        <v>111</v>
      </c>
      <c r="D22" s="130"/>
      <c r="E22" s="130"/>
      <c r="F22" s="137"/>
      <c r="G22" s="138"/>
      <c r="H22" s="138"/>
    </row>
    <row r="23" spans="2:10" ht="70.5" customHeight="1" x14ac:dyDescent="0.2">
      <c r="B23" s="1" t="s">
        <v>101</v>
      </c>
      <c r="C23" s="131" t="s">
        <v>171</v>
      </c>
      <c r="D23" s="132"/>
      <c r="E23" s="133"/>
      <c r="F23" s="139"/>
      <c r="G23" s="140"/>
      <c r="H23" s="140"/>
    </row>
    <row r="24" spans="2:10" ht="63.95" customHeight="1" x14ac:dyDescent="0.2">
      <c r="B24" s="1" t="s">
        <v>102</v>
      </c>
      <c r="C24" s="134"/>
      <c r="D24" s="135"/>
      <c r="E24" s="136"/>
      <c r="F24" s="139"/>
      <c r="G24" s="140"/>
      <c r="H24" s="140"/>
    </row>
    <row r="25" spans="2:10" x14ac:dyDescent="0.2">
      <c r="B25" s="1" t="s">
        <v>103</v>
      </c>
      <c r="C25" s="130" t="s">
        <v>112</v>
      </c>
      <c r="D25" s="130"/>
      <c r="E25" s="130"/>
    </row>
    <row r="26" spans="2:10" ht="45.95" customHeight="1" x14ac:dyDescent="0.2">
      <c r="B26" s="1" t="s">
        <v>104</v>
      </c>
      <c r="C26" s="130" t="s">
        <v>172</v>
      </c>
      <c r="D26" s="130"/>
      <c r="E26" s="130"/>
    </row>
    <row r="27" spans="2:10" ht="103.5" customHeight="1" x14ac:dyDescent="0.2">
      <c r="B27" s="1" t="s">
        <v>105</v>
      </c>
      <c r="C27" s="130" t="s">
        <v>173</v>
      </c>
      <c r="D27" s="130"/>
      <c r="E27" s="130"/>
    </row>
    <row r="28" spans="2:10" ht="38.25" x14ac:dyDescent="0.2">
      <c r="B28" s="1" t="s">
        <v>106</v>
      </c>
      <c r="C28" s="130" t="s">
        <v>107</v>
      </c>
      <c r="D28" s="130"/>
      <c r="E28" s="130"/>
    </row>
    <row r="29" spans="2:10" x14ac:dyDescent="0.2">
      <c r="B29" s="22"/>
    </row>
    <row r="30" spans="2:10" ht="15" x14ac:dyDescent="0.25">
      <c r="B30" s="22"/>
      <c r="H30" s="32" t="s">
        <v>147</v>
      </c>
      <c r="I30" s="107"/>
    </row>
    <row r="31" spans="2:10" ht="15.75" thickBot="1" x14ac:dyDescent="0.3">
      <c r="B31" s="22" t="s">
        <v>94</v>
      </c>
      <c r="H31" s="108">
        <f>E41</f>
        <v>4.4776119402985072E-2</v>
      </c>
      <c r="I31" s="109">
        <v>10</v>
      </c>
      <c r="J31" s="110" t="s">
        <v>148</v>
      </c>
    </row>
    <row r="32" spans="2:10" ht="15" x14ac:dyDescent="0.25">
      <c r="B32" s="25" t="s">
        <v>140</v>
      </c>
      <c r="C32" s="26" t="s">
        <v>12</v>
      </c>
      <c r="D32" s="26" t="s">
        <v>17</v>
      </c>
      <c r="E32" s="27" t="s">
        <v>13</v>
      </c>
      <c r="F32" s="28" t="s">
        <v>174</v>
      </c>
      <c r="H32" s="108">
        <v>1</v>
      </c>
      <c r="I32" s="109">
        <v>2</v>
      </c>
      <c r="J32" s="110" t="s">
        <v>149</v>
      </c>
    </row>
    <row r="33" spans="2:12" ht="15" x14ac:dyDescent="0.25">
      <c r="B33" s="29" t="s">
        <v>165</v>
      </c>
      <c r="C33" s="30">
        <v>6840</v>
      </c>
      <c r="E33" s="31"/>
      <c r="F33" s="28"/>
      <c r="H33" s="111">
        <f>(H31*I31/12)+(H32*I32/12)</f>
        <v>0.20398009950248755</v>
      </c>
      <c r="I33" s="112"/>
      <c r="J33" s="110"/>
    </row>
    <row r="34" spans="2:12" x14ac:dyDescent="0.2">
      <c r="B34" s="29" t="s">
        <v>3</v>
      </c>
      <c r="C34" s="30">
        <v>6300</v>
      </c>
      <c r="E34" s="31"/>
      <c r="F34" s="28"/>
      <c r="H34" s="32" t="s">
        <v>176</v>
      </c>
    </row>
    <row r="35" spans="2:12" ht="15" x14ac:dyDescent="0.25">
      <c r="B35" s="29" t="s">
        <v>117</v>
      </c>
      <c r="C35" s="30"/>
      <c r="D35" s="24" t="s">
        <v>134</v>
      </c>
      <c r="E35" s="31"/>
      <c r="F35" s="28"/>
      <c r="H35" s="108">
        <f>E41</f>
        <v>4.4776119402985072E-2</v>
      </c>
      <c r="I35" s="109">
        <v>7</v>
      </c>
      <c r="J35" s="110" t="s">
        <v>148</v>
      </c>
    </row>
    <row r="36" spans="2:12" ht="15" x14ac:dyDescent="0.25">
      <c r="B36" s="29" t="s">
        <v>166</v>
      </c>
      <c r="C36" s="30">
        <v>2000</v>
      </c>
      <c r="D36" s="30">
        <f>C36-500</f>
        <v>1500</v>
      </c>
      <c r="E36" s="31"/>
      <c r="F36" s="33"/>
      <c r="H36" s="108">
        <v>1</v>
      </c>
      <c r="I36" s="109">
        <v>2</v>
      </c>
      <c r="J36" s="110" t="s">
        <v>149</v>
      </c>
    </row>
    <row r="37" spans="2:12" ht="15" x14ac:dyDescent="0.25">
      <c r="B37" s="29" t="s">
        <v>25</v>
      </c>
      <c r="C37" s="30">
        <v>2800</v>
      </c>
      <c r="D37" s="30">
        <f>C37+500</f>
        <v>3300</v>
      </c>
      <c r="E37" s="31"/>
      <c r="F37" s="28"/>
      <c r="H37" s="108">
        <v>1</v>
      </c>
      <c r="I37" s="109">
        <v>3</v>
      </c>
      <c r="J37" s="110" t="s">
        <v>150</v>
      </c>
    </row>
    <row r="38" spans="2:12" ht="15" x14ac:dyDescent="0.25">
      <c r="B38" s="29" t="s">
        <v>116</v>
      </c>
      <c r="C38" s="30">
        <v>1200</v>
      </c>
      <c r="E38" s="31"/>
      <c r="F38" s="28"/>
      <c r="H38" s="111">
        <f>(H35*I35/12)+(H36*I36/12)+(H37*I37/12)</f>
        <v>0.44278606965174128</v>
      </c>
      <c r="I38" s="112"/>
      <c r="J38" s="110"/>
    </row>
    <row r="39" spans="2:12" x14ac:dyDescent="0.2">
      <c r="B39" s="29" t="s">
        <v>57</v>
      </c>
      <c r="C39" s="30"/>
      <c r="E39" s="31"/>
      <c r="F39" s="28"/>
      <c r="G39" s="34"/>
      <c r="H39" s="110">
        <v>500</v>
      </c>
      <c r="I39" s="113">
        <f>H38</f>
        <v>0.44278606965174128</v>
      </c>
      <c r="J39" s="114">
        <f>I39*H39</f>
        <v>221.39303482587064</v>
      </c>
    </row>
    <row r="40" spans="2:12" x14ac:dyDescent="0.2">
      <c r="B40" s="29" t="s">
        <v>143</v>
      </c>
      <c r="C40" s="30">
        <v>225</v>
      </c>
      <c r="D40" s="23"/>
      <c r="E40" s="31"/>
      <c r="F40" s="28"/>
      <c r="G40" s="34"/>
      <c r="H40" s="115">
        <f>C37</f>
        <v>2800</v>
      </c>
      <c r="I40" s="113">
        <f>E41</f>
        <v>4.4776119402985072E-2</v>
      </c>
      <c r="J40" s="110">
        <f>I40*H40</f>
        <v>125.3731343283582</v>
      </c>
    </row>
    <row r="41" spans="2:12" x14ac:dyDescent="0.2">
      <c r="B41" s="29"/>
      <c r="C41" s="141">
        <f>C40/(C36+C37+C40)</f>
        <v>4.4776119402985072E-2</v>
      </c>
      <c r="D41" s="24" t="s">
        <v>145</v>
      </c>
      <c r="E41" s="35">
        <f>C41</f>
        <v>4.4776119402985072E-2</v>
      </c>
      <c r="F41" s="28" t="s">
        <v>21</v>
      </c>
      <c r="G41" s="34"/>
      <c r="H41" s="110"/>
      <c r="I41" s="110"/>
      <c r="J41" s="114">
        <f>J39+J40</f>
        <v>346.76616915422886</v>
      </c>
    </row>
    <row r="42" spans="2:12" x14ac:dyDescent="0.2">
      <c r="B42" s="29" t="s">
        <v>144</v>
      </c>
      <c r="C42" s="30">
        <v>75</v>
      </c>
      <c r="D42" s="23"/>
      <c r="E42" s="31"/>
      <c r="F42" s="28"/>
      <c r="G42" s="34"/>
      <c r="H42" s="116"/>
      <c r="I42" s="116"/>
      <c r="J42" s="117">
        <f>J41/D37</f>
        <v>0.1050806573194633</v>
      </c>
    </row>
    <row r="43" spans="2:12" x14ac:dyDescent="0.2">
      <c r="B43" s="29"/>
      <c r="C43" s="141">
        <f>C42/(C38+C42)</f>
        <v>5.8823529411764705E-2</v>
      </c>
      <c r="D43" s="36" t="s">
        <v>146</v>
      </c>
      <c r="E43" s="35">
        <f>C43</f>
        <v>5.8823529411764705E-2</v>
      </c>
      <c r="F43" s="28" t="s">
        <v>21</v>
      </c>
      <c r="H43" s="32" t="s">
        <v>185</v>
      </c>
    </row>
    <row r="44" spans="2:12" ht="15" x14ac:dyDescent="0.25">
      <c r="B44" s="29" t="s">
        <v>4</v>
      </c>
      <c r="C44" s="36">
        <f>(C40+C42)/C34</f>
        <v>4.7619047619047616E-2</v>
      </c>
      <c r="D44" s="24" t="s">
        <v>145</v>
      </c>
      <c r="E44" s="37">
        <f>C44</f>
        <v>4.7619047619047616E-2</v>
      </c>
      <c r="F44" s="28" t="s">
        <v>21</v>
      </c>
      <c r="H44" s="108">
        <f>E41</f>
        <v>4.4776119402985072E-2</v>
      </c>
      <c r="I44" s="142">
        <v>9</v>
      </c>
      <c r="J44" s="110" t="s">
        <v>148</v>
      </c>
      <c r="K44" s="115">
        <f>C40</f>
        <v>225</v>
      </c>
      <c r="L44" s="113">
        <f>H46</f>
        <v>0.28358208955223879</v>
      </c>
    </row>
    <row r="45" spans="2:12" ht="15" x14ac:dyDescent="0.25">
      <c r="B45" s="29"/>
      <c r="C45" s="30"/>
      <c r="E45" s="31"/>
      <c r="F45" s="28"/>
      <c r="H45" s="108">
        <v>1</v>
      </c>
      <c r="I45" s="109">
        <v>3</v>
      </c>
      <c r="J45" s="110" t="s">
        <v>150</v>
      </c>
      <c r="K45" s="115">
        <f>C37</f>
        <v>2800</v>
      </c>
      <c r="L45" s="123">
        <f>H44</f>
        <v>4.4776119402985072E-2</v>
      </c>
    </row>
    <row r="46" spans="2:12" ht="15" x14ac:dyDescent="0.25">
      <c r="B46" s="29" t="s">
        <v>167</v>
      </c>
      <c r="C46" s="24">
        <v>125</v>
      </c>
      <c r="E46" s="31"/>
      <c r="F46" s="28"/>
      <c r="H46" s="122">
        <f>(H44*I44/12)+(H45*I45/12)</f>
        <v>0.28358208955223879</v>
      </c>
      <c r="I46" s="112"/>
      <c r="J46" s="110"/>
      <c r="K46" s="124">
        <f>(K44*L44+K45*L45)/(C37+C40)</f>
        <v>6.2538546934747752E-2</v>
      </c>
      <c r="L46" s="110"/>
    </row>
    <row r="47" spans="2:12" x14ac:dyDescent="0.2">
      <c r="B47" s="29" t="s">
        <v>26</v>
      </c>
      <c r="C47" s="24">
        <v>10</v>
      </c>
      <c r="E47" s="31"/>
      <c r="F47" s="28"/>
      <c r="H47" s="32" t="s">
        <v>186</v>
      </c>
    </row>
    <row r="48" spans="2:12" ht="15" x14ac:dyDescent="0.25">
      <c r="B48" s="29" t="s">
        <v>120</v>
      </c>
      <c r="C48" s="24">
        <v>4</v>
      </c>
      <c r="E48" s="31"/>
      <c r="F48" s="28"/>
      <c r="H48" s="108">
        <f>E43</f>
        <v>5.8823529411764705E-2</v>
      </c>
      <c r="I48" s="142">
        <v>11</v>
      </c>
      <c r="J48" s="110" t="s">
        <v>148</v>
      </c>
      <c r="K48" s="115">
        <f>C42</f>
        <v>75</v>
      </c>
      <c r="L48" s="113">
        <f>H50</f>
        <v>0.13725490196078433</v>
      </c>
    </row>
    <row r="49" spans="2:12" ht="15" x14ac:dyDescent="0.25">
      <c r="B49" s="29" t="s">
        <v>14</v>
      </c>
      <c r="C49" s="36">
        <f>C48/C46</f>
        <v>3.2000000000000001E-2</v>
      </c>
      <c r="D49" s="24" t="s">
        <v>60</v>
      </c>
      <c r="E49" s="37">
        <f>E44</f>
        <v>4.7619047619047616E-2</v>
      </c>
      <c r="F49" s="28" t="s">
        <v>22</v>
      </c>
      <c r="H49" s="108">
        <v>1</v>
      </c>
      <c r="I49" s="142">
        <v>1</v>
      </c>
      <c r="J49" s="110" t="s">
        <v>150</v>
      </c>
      <c r="K49" s="115">
        <f>C38</f>
        <v>1200</v>
      </c>
      <c r="L49" s="123">
        <f>H48</f>
        <v>5.8823529411764705E-2</v>
      </c>
    </row>
    <row r="50" spans="2:12" ht="15" x14ac:dyDescent="0.25">
      <c r="B50" s="29" t="s">
        <v>119</v>
      </c>
      <c r="C50" s="24">
        <v>5505.5</v>
      </c>
      <c r="E50" s="37"/>
      <c r="F50" s="28"/>
      <c r="H50" s="122">
        <f>(H48*I48/12)+(H49*I49/12)</f>
        <v>0.13725490196078433</v>
      </c>
      <c r="I50" s="112"/>
      <c r="J50" s="110"/>
      <c r="K50" s="124">
        <f>(K48*L48+K49*L49)/(C38+C42)</f>
        <v>6.3437139561707045E-2</v>
      </c>
      <c r="L50" s="110"/>
    </row>
    <row r="51" spans="2:12" x14ac:dyDescent="0.2">
      <c r="B51" s="29" t="s">
        <v>27</v>
      </c>
      <c r="C51" s="30"/>
      <c r="E51" s="31"/>
      <c r="F51" s="28"/>
    </row>
    <row r="52" spans="2:12" x14ac:dyDescent="0.2">
      <c r="B52" s="29" t="s">
        <v>118</v>
      </c>
      <c r="C52" s="38">
        <f>C50/(C46-C48)</f>
        <v>45.5</v>
      </c>
      <c r="D52" s="24" t="s">
        <v>29</v>
      </c>
      <c r="E52" s="39">
        <f>C52</f>
        <v>45.5</v>
      </c>
      <c r="F52" s="28" t="s">
        <v>168</v>
      </c>
    </row>
    <row r="53" spans="2:12" x14ac:dyDescent="0.2">
      <c r="B53" s="29" t="s">
        <v>28</v>
      </c>
      <c r="C53" s="40">
        <f>C51/C47</f>
        <v>0</v>
      </c>
      <c r="D53" s="24" t="s">
        <v>30</v>
      </c>
      <c r="E53" s="39"/>
      <c r="F53" s="28"/>
    </row>
    <row r="54" spans="2:12" x14ac:dyDescent="0.2">
      <c r="B54" s="29"/>
      <c r="C54" s="40"/>
      <c r="E54" s="39"/>
      <c r="F54" s="28"/>
    </row>
    <row r="55" spans="2:12" x14ac:dyDescent="0.2">
      <c r="B55" s="41" t="s">
        <v>35</v>
      </c>
      <c r="C55" s="40">
        <v>5</v>
      </c>
      <c r="E55" s="39"/>
      <c r="F55" s="28"/>
    </row>
    <row r="56" spans="2:12" x14ac:dyDescent="0.2">
      <c r="B56" s="29" t="s">
        <v>121</v>
      </c>
      <c r="C56" s="40">
        <v>100</v>
      </c>
      <c r="E56" s="39"/>
      <c r="F56" s="28"/>
    </row>
    <row r="57" spans="2:12" x14ac:dyDescent="0.2">
      <c r="B57" s="29" t="s">
        <v>36</v>
      </c>
      <c r="C57" s="40">
        <f>C56*C55</f>
        <v>500</v>
      </c>
      <c r="E57" s="39"/>
      <c r="F57" s="28"/>
    </row>
    <row r="58" spans="2:12" x14ac:dyDescent="0.2">
      <c r="B58" s="29" t="s">
        <v>58</v>
      </c>
      <c r="C58" s="36">
        <v>0</v>
      </c>
      <c r="E58" s="42">
        <f>E49</f>
        <v>4.7619047619047616E-2</v>
      </c>
      <c r="F58" s="28" t="s">
        <v>175</v>
      </c>
    </row>
    <row r="59" spans="2:12" x14ac:dyDescent="0.2">
      <c r="B59" s="29"/>
      <c r="E59" s="31"/>
      <c r="F59" s="23"/>
    </row>
    <row r="60" spans="2:12" x14ac:dyDescent="0.2">
      <c r="B60" s="41" t="s">
        <v>5</v>
      </c>
      <c r="E60" s="31"/>
      <c r="F60" s="28"/>
    </row>
    <row r="61" spans="2:12" x14ac:dyDescent="0.2">
      <c r="B61" s="43" t="s">
        <v>123</v>
      </c>
      <c r="C61" s="44">
        <f>C62*C36</f>
        <v>15000</v>
      </c>
      <c r="D61" s="45"/>
      <c r="E61" s="46"/>
      <c r="F61" s="28"/>
    </row>
    <row r="62" spans="2:12" x14ac:dyDescent="0.2">
      <c r="B62" s="29" t="s">
        <v>122</v>
      </c>
      <c r="C62" s="47">
        <v>7.5</v>
      </c>
      <c r="D62" s="48" t="s">
        <v>18</v>
      </c>
      <c r="E62" s="39">
        <f>C62</f>
        <v>7.5</v>
      </c>
      <c r="F62" s="28" t="s">
        <v>164</v>
      </c>
    </row>
    <row r="63" spans="2:12" x14ac:dyDescent="0.2">
      <c r="B63" s="29" t="s">
        <v>124</v>
      </c>
      <c r="C63" s="47">
        <v>11</v>
      </c>
      <c r="D63" s="48" t="s">
        <v>18</v>
      </c>
      <c r="E63" s="39">
        <f>C63</f>
        <v>11</v>
      </c>
      <c r="F63" s="28" t="s">
        <v>21</v>
      </c>
    </row>
    <row r="64" spans="2:12" x14ac:dyDescent="0.2">
      <c r="B64" s="29" t="s">
        <v>125</v>
      </c>
      <c r="C64" s="47" t="s">
        <v>16</v>
      </c>
      <c r="D64" s="48" t="s">
        <v>31</v>
      </c>
      <c r="E64" s="42" t="s">
        <v>16</v>
      </c>
      <c r="F64" s="28" t="s">
        <v>169</v>
      </c>
    </row>
    <row r="65" spans="2:20" x14ac:dyDescent="0.2">
      <c r="B65" s="43" t="s">
        <v>32</v>
      </c>
      <c r="C65" s="44">
        <f>C37*C66</f>
        <v>35000</v>
      </c>
      <c r="D65" s="45"/>
      <c r="E65" s="46"/>
      <c r="F65" s="28"/>
    </row>
    <row r="66" spans="2:20" x14ac:dyDescent="0.2">
      <c r="B66" s="29" t="s">
        <v>33</v>
      </c>
      <c r="C66" s="47">
        <v>12.5</v>
      </c>
      <c r="D66" s="48" t="s">
        <v>18</v>
      </c>
      <c r="E66" s="39">
        <f>C66</f>
        <v>12.5</v>
      </c>
      <c r="F66" s="28" t="s">
        <v>136</v>
      </c>
    </row>
    <row r="67" spans="2:20" x14ac:dyDescent="0.2">
      <c r="B67" s="29" t="s">
        <v>34</v>
      </c>
      <c r="C67" s="47" t="s">
        <v>135</v>
      </c>
      <c r="D67" s="48" t="s">
        <v>31</v>
      </c>
      <c r="E67" s="42" t="s">
        <v>135</v>
      </c>
      <c r="F67" s="28" t="s">
        <v>169</v>
      </c>
    </row>
    <row r="68" spans="2:20" x14ac:dyDescent="0.2">
      <c r="B68" s="43" t="s">
        <v>126</v>
      </c>
      <c r="C68" s="44">
        <f>C38*C69</f>
        <v>18000</v>
      </c>
      <c r="D68" s="45"/>
      <c r="E68" s="46"/>
      <c r="F68" s="28"/>
    </row>
    <row r="69" spans="2:20" x14ac:dyDescent="0.2">
      <c r="B69" s="29" t="s">
        <v>127</v>
      </c>
      <c r="C69" s="47">
        <v>15</v>
      </c>
      <c r="D69" s="48" t="s">
        <v>59</v>
      </c>
      <c r="E69" s="39">
        <v>15</v>
      </c>
      <c r="F69" s="28" t="s">
        <v>136</v>
      </c>
    </row>
    <row r="70" spans="2:20" x14ac:dyDescent="0.2">
      <c r="B70" s="29" t="s">
        <v>128</v>
      </c>
      <c r="C70" s="47" t="s">
        <v>135</v>
      </c>
      <c r="D70" s="48" t="s">
        <v>31</v>
      </c>
      <c r="E70" s="42" t="s">
        <v>135</v>
      </c>
      <c r="F70" s="28" t="s">
        <v>169</v>
      </c>
    </row>
    <row r="71" spans="2:20" x14ac:dyDescent="0.2">
      <c r="B71" s="29"/>
      <c r="D71" s="48"/>
      <c r="E71" s="31"/>
      <c r="F71" s="28"/>
      <c r="M71" s="23" t="s">
        <v>132</v>
      </c>
      <c r="O71" s="23">
        <v>2024</v>
      </c>
      <c r="P71" s="23">
        <v>2025</v>
      </c>
      <c r="Q71" s="23">
        <v>2026</v>
      </c>
      <c r="R71" s="23">
        <v>2027</v>
      </c>
      <c r="S71" s="23">
        <v>2028</v>
      </c>
      <c r="T71" s="23">
        <v>2029</v>
      </c>
    </row>
    <row r="72" spans="2:20" x14ac:dyDescent="0.2">
      <c r="B72" s="41" t="s">
        <v>6</v>
      </c>
      <c r="D72" s="48"/>
      <c r="E72" s="31"/>
      <c r="F72" s="28"/>
      <c r="N72" s="49"/>
      <c r="O72" s="49">
        <v>3.5000000000000003E-2</v>
      </c>
      <c r="P72" s="49">
        <v>3.9E-2</v>
      </c>
      <c r="Q72" s="49">
        <v>3.5999999999999997E-2</v>
      </c>
      <c r="R72" s="49">
        <v>2.5000000000000001E-2</v>
      </c>
      <c r="S72" s="49">
        <v>2.5000000000000001E-2</v>
      </c>
      <c r="T72" s="49">
        <v>2.5000000000000001E-2</v>
      </c>
    </row>
    <row r="73" spans="2:20" x14ac:dyDescent="0.2">
      <c r="B73" s="29" t="s">
        <v>7</v>
      </c>
      <c r="C73" s="30">
        <v>8970</v>
      </c>
      <c r="D73" s="48"/>
      <c r="E73" s="31"/>
      <c r="F73" s="28"/>
      <c r="M73" s="23" t="s">
        <v>133</v>
      </c>
      <c r="O73" s="50">
        <v>0.03</v>
      </c>
      <c r="P73" s="50">
        <v>0.03</v>
      </c>
      <c r="Q73" s="50">
        <v>0.03</v>
      </c>
      <c r="R73" s="49">
        <v>2.5000000000000001E-2</v>
      </c>
    </row>
    <row r="74" spans="2:20" x14ac:dyDescent="0.2">
      <c r="B74" s="29" t="s">
        <v>8</v>
      </c>
      <c r="C74" s="30">
        <v>3620</v>
      </c>
      <c r="D74" s="48"/>
      <c r="E74" s="31"/>
      <c r="F74" s="28"/>
    </row>
    <row r="75" spans="2:20" x14ac:dyDescent="0.2">
      <c r="B75" s="29" t="s">
        <v>61</v>
      </c>
      <c r="C75" s="30">
        <v>2500</v>
      </c>
      <c r="D75" s="47">
        <f>C75/12/C33</f>
        <v>3.0458089668615986E-2</v>
      </c>
      <c r="E75" s="31" t="s">
        <v>129</v>
      </c>
      <c r="F75" s="28"/>
    </row>
    <row r="76" spans="2:20" x14ac:dyDescent="0.2">
      <c r="B76" s="29" t="s">
        <v>20</v>
      </c>
      <c r="C76" s="30">
        <v>31000</v>
      </c>
      <c r="D76" s="47">
        <f>C76/12/C33</f>
        <v>0.37768031189083823</v>
      </c>
      <c r="E76" s="31" t="s">
        <v>129</v>
      </c>
      <c r="F76" s="23"/>
      <c r="G76" s="23"/>
    </row>
    <row r="77" spans="2:20" x14ac:dyDescent="0.2">
      <c r="B77" s="29"/>
      <c r="C77" s="23"/>
      <c r="D77" s="23"/>
      <c r="E77" s="51"/>
      <c r="F77" s="23"/>
      <c r="G77" s="23"/>
    </row>
    <row r="78" spans="2:20" ht="15" x14ac:dyDescent="0.25">
      <c r="B78" s="29" t="s">
        <v>15</v>
      </c>
      <c r="C78" s="30">
        <f>SUM(C73:C76)</f>
        <v>46090</v>
      </c>
      <c r="D78" s="48"/>
      <c r="E78" s="31"/>
      <c r="F78" s="28"/>
      <c r="K78" s="52"/>
      <c r="L78" s="53" t="s">
        <v>157</v>
      </c>
      <c r="M78" s="53" t="s">
        <v>158</v>
      </c>
      <c r="N78" s="53"/>
      <c r="O78" s="53"/>
      <c r="P78" s="54"/>
      <c r="Q78" s="54"/>
    </row>
    <row r="79" spans="2:20" ht="14.25" x14ac:dyDescent="0.2">
      <c r="B79" s="29" t="s">
        <v>9</v>
      </c>
      <c r="C79" s="55">
        <f>C78/C33/12</f>
        <v>0.56152534113060426</v>
      </c>
      <c r="D79" s="48" t="s">
        <v>62</v>
      </c>
      <c r="E79" s="31">
        <v>0.56000000000000005</v>
      </c>
      <c r="F79" s="28" t="s">
        <v>63</v>
      </c>
      <c r="K79" s="53"/>
      <c r="L79" s="56">
        <v>0.55000000000000004</v>
      </c>
      <c r="M79" s="57">
        <v>8.5000000000000006E-2</v>
      </c>
      <c r="N79" s="53" t="s">
        <v>162</v>
      </c>
      <c r="O79" s="53"/>
      <c r="P79" s="54"/>
      <c r="Q79" s="54"/>
    </row>
    <row r="80" spans="2:20" ht="14.25" x14ac:dyDescent="0.2">
      <c r="B80" s="29" t="s">
        <v>130</v>
      </c>
      <c r="C80" s="55"/>
      <c r="D80" s="23"/>
      <c r="E80" s="51" t="s">
        <v>131</v>
      </c>
      <c r="F80" s="23"/>
      <c r="K80" s="53"/>
      <c r="L80" s="56">
        <f>1-L79</f>
        <v>0.44999999999999996</v>
      </c>
      <c r="M80" s="56">
        <v>0.12</v>
      </c>
      <c r="N80" s="53"/>
      <c r="O80" s="53"/>
      <c r="P80" s="54"/>
      <c r="Q80" s="54"/>
    </row>
    <row r="81" spans="2:17" ht="15" x14ac:dyDescent="0.25">
      <c r="B81" s="29"/>
      <c r="D81" s="48"/>
      <c r="E81" s="31"/>
      <c r="F81" s="28"/>
      <c r="K81" s="58"/>
      <c r="L81" s="59">
        <f>(L79*M79)+(L80*M80)</f>
        <v>0.10075000000000001</v>
      </c>
      <c r="M81" s="53"/>
      <c r="N81" s="53"/>
      <c r="O81" s="53"/>
      <c r="P81" s="54"/>
      <c r="Q81" s="54"/>
    </row>
    <row r="82" spans="2:17" ht="14.25" x14ac:dyDescent="0.2">
      <c r="B82" s="41" t="s">
        <v>10</v>
      </c>
      <c r="D82" s="48"/>
      <c r="E82" s="31"/>
      <c r="F82" s="23" t="s">
        <v>23</v>
      </c>
      <c r="G82" s="23"/>
      <c r="H82" s="23"/>
      <c r="K82" s="53"/>
      <c r="L82" s="53"/>
      <c r="M82" s="53"/>
      <c r="N82" s="53"/>
      <c r="O82" s="53"/>
      <c r="P82" s="54"/>
      <c r="Q82" s="54"/>
    </row>
    <row r="83" spans="2:17" ht="15.75" x14ac:dyDescent="0.3">
      <c r="B83" s="60" t="s">
        <v>154</v>
      </c>
      <c r="C83" s="61"/>
      <c r="D83" s="62" t="s">
        <v>156</v>
      </c>
      <c r="E83" s="63">
        <f>I90</f>
        <v>0.08</v>
      </c>
      <c r="F83" s="23" t="s">
        <v>38</v>
      </c>
      <c r="G83" s="23" t="s">
        <v>39</v>
      </c>
      <c r="H83" s="23" t="s">
        <v>40</v>
      </c>
      <c r="I83" s="23" t="s">
        <v>41</v>
      </c>
      <c r="K83" s="53"/>
      <c r="L83" s="53" t="s">
        <v>38</v>
      </c>
      <c r="M83" s="53" t="s">
        <v>159</v>
      </c>
      <c r="N83" s="53"/>
      <c r="O83" s="53"/>
      <c r="P83" s="54"/>
      <c r="Q83" s="54"/>
    </row>
    <row r="84" spans="2:17" ht="15.75" x14ac:dyDescent="0.3">
      <c r="B84" s="60" t="s">
        <v>155</v>
      </c>
      <c r="C84" s="64"/>
      <c r="D84" s="65" t="s">
        <v>156</v>
      </c>
      <c r="E84" s="31"/>
      <c r="F84" s="23" t="s">
        <v>42</v>
      </c>
      <c r="G84" s="23" t="s">
        <v>43</v>
      </c>
      <c r="H84" s="23" t="s">
        <v>47</v>
      </c>
      <c r="I84" s="23">
        <v>11.5</v>
      </c>
      <c r="K84" s="66"/>
      <c r="L84" s="66" t="s">
        <v>42</v>
      </c>
      <c r="M84" s="67">
        <v>0.12</v>
      </c>
      <c r="N84" s="53" t="s">
        <v>160</v>
      </c>
      <c r="O84" s="53"/>
      <c r="P84" s="54"/>
      <c r="Q84" s="54"/>
    </row>
    <row r="85" spans="2:17" ht="15.75" x14ac:dyDescent="0.3">
      <c r="B85" s="60" t="s">
        <v>11</v>
      </c>
      <c r="C85" s="61"/>
      <c r="D85" s="61" t="s">
        <v>37</v>
      </c>
      <c r="E85" s="63">
        <f>L81</f>
        <v>0.10075000000000001</v>
      </c>
      <c r="F85" s="23" t="s">
        <v>44</v>
      </c>
      <c r="G85" s="23" t="s">
        <v>45</v>
      </c>
      <c r="H85" s="23" t="s">
        <v>48</v>
      </c>
      <c r="I85" s="23">
        <v>10.9</v>
      </c>
      <c r="K85" s="53"/>
      <c r="L85" s="53" t="s">
        <v>44</v>
      </c>
      <c r="M85" s="56">
        <v>0.14000000000000001</v>
      </c>
      <c r="N85" s="53"/>
      <c r="O85" s="53"/>
      <c r="P85" s="54"/>
      <c r="Q85" s="54"/>
    </row>
    <row r="86" spans="2:17" ht="14.25" x14ac:dyDescent="0.2">
      <c r="B86" s="29" t="s">
        <v>163</v>
      </c>
      <c r="E86" s="63">
        <f>L81</f>
        <v>0.10075000000000001</v>
      </c>
      <c r="F86" s="23" t="s">
        <v>44</v>
      </c>
      <c r="G86" s="68" t="s">
        <v>50</v>
      </c>
      <c r="H86" s="23" t="s">
        <v>53</v>
      </c>
      <c r="I86" s="23">
        <v>9.85</v>
      </c>
      <c r="K86" s="53"/>
      <c r="L86" s="53" t="s">
        <v>42</v>
      </c>
      <c r="M86" s="56">
        <v>0.13</v>
      </c>
      <c r="N86" s="53"/>
      <c r="O86" s="53"/>
      <c r="P86" s="54"/>
      <c r="Q86" s="54"/>
    </row>
    <row r="87" spans="2:17" ht="14.25" x14ac:dyDescent="0.2">
      <c r="B87" s="29"/>
      <c r="E87" s="37"/>
      <c r="F87" s="69" t="s">
        <v>42</v>
      </c>
      <c r="G87" s="69" t="s">
        <v>49</v>
      </c>
      <c r="H87" s="69" t="s">
        <v>51</v>
      </c>
      <c r="I87" s="69">
        <v>12.5</v>
      </c>
      <c r="J87" s="23" t="s">
        <v>55</v>
      </c>
      <c r="K87" s="53"/>
      <c r="L87" s="53" t="s">
        <v>44</v>
      </c>
      <c r="M87" s="56">
        <v>0.15</v>
      </c>
      <c r="N87" s="53"/>
      <c r="O87" s="53"/>
      <c r="P87" s="54"/>
      <c r="Q87" s="54"/>
    </row>
    <row r="88" spans="2:17" ht="14.25" x14ac:dyDescent="0.2">
      <c r="B88" s="29"/>
      <c r="E88" s="31"/>
      <c r="F88" s="23" t="s">
        <v>42</v>
      </c>
      <c r="G88" s="23" t="s">
        <v>46</v>
      </c>
      <c r="H88" s="23" t="s">
        <v>52</v>
      </c>
      <c r="I88" s="23">
        <v>11.2</v>
      </c>
      <c r="K88" s="53"/>
      <c r="L88" s="53" t="s">
        <v>44</v>
      </c>
      <c r="M88" s="56">
        <v>0.15</v>
      </c>
      <c r="N88" s="53"/>
      <c r="O88" s="53"/>
      <c r="P88" s="54"/>
      <c r="Q88" s="54"/>
    </row>
    <row r="89" spans="2:17" ht="14.25" x14ac:dyDescent="0.2">
      <c r="B89" s="29"/>
      <c r="E89" s="31"/>
      <c r="F89" s="23" t="s">
        <v>44</v>
      </c>
      <c r="G89" s="23" t="s">
        <v>114</v>
      </c>
      <c r="H89" s="23" t="s">
        <v>54</v>
      </c>
      <c r="I89" s="23">
        <v>8.8000000000000007</v>
      </c>
      <c r="K89" s="53"/>
      <c r="L89" s="53" t="s">
        <v>161</v>
      </c>
      <c r="M89" s="56">
        <v>0.17</v>
      </c>
      <c r="N89" s="53"/>
      <c r="O89" s="53"/>
      <c r="P89" s="54"/>
      <c r="Q89" s="54"/>
    </row>
    <row r="90" spans="2:17" ht="14.25" x14ac:dyDescent="0.2">
      <c r="B90" s="29"/>
      <c r="E90" s="31"/>
      <c r="F90" s="28"/>
      <c r="G90" s="23"/>
      <c r="H90" s="23" t="s">
        <v>23</v>
      </c>
      <c r="I90" s="49">
        <f>1/I87</f>
        <v>0.08</v>
      </c>
      <c r="K90" s="53"/>
      <c r="L90" s="53" t="s">
        <v>42</v>
      </c>
      <c r="M90" s="56">
        <v>0.14000000000000001</v>
      </c>
      <c r="N90" s="53"/>
      <c r="O90" s="53"/>
      <c r="P90" s="54"/>
      <c r="Q90" s="54"/>
    </row>
    <row r="91" spans="2:17" ht="15" thickBot="1" x14ac:dyDescent="0.25">
      <c r="B91" s="70" t="s">
        <v>0</v>
      </c>
      <c r="C91" s="71"/>
      <c r="D91" s="72">
        <v>1.4999999999999999E-2</v>
      </c>
      <c r="E91" s="73"/>
      <c r="F91" s="28" t="s">
        <v>113</v>
      </c>
      <c r="K91" s="53"/>
      <c r="L91" s="53" t="s">
        <v>44</v>
      </c>
      <c r="M91" s="56">
        <v>0.16</v>
      </c>
      <c r="O91" s="53"/>
      <c r="P91" s="54"/>
      <c r="Q91" s="54"/>
    </row>
    <row r="92" spans="2:17" ht="14.25" x14ac:dyDescent="0.2">
      <c r="D92" s="74"/>
      <c r="F92" s="28"/>
      <c r="K92" s="53"/>
      <c r="L92" s="53"/>
      <c r="M92" s="53"/>
      <c r="N92" s="53"/>
      <c r="O92" s="53"/>
      <c r="P92" s="54"/>
      <c r="Q92" s="54"/>
    </row>
    <row r="93" spans="2:17" ht="14.25" x14ac:dyDescent="0.2">
      <c r="C93" s="40"/>
      <c r="L93" s="54"/>
      <c r="M93" s="54"/>
      <c r="N93" s="54"/>
      <c r="O93" s="54"/>
      <c r="P93" s="54"/>
      <c r="Q93" s="54"/>
    </row>
    <row r="94" spans="2:17" ht="13.5" thickBot="1" x14ac:dyDescent="0.25">
      <c r="B94" s="75"/>
      <c r="C94" s="75"/>
      <c r="D94" s="75"/>
      <c r="E94" s="75"/>
      <c r="F94" s="75"/>
      <c r="G94" s="75"/>
      <c r="H94" s="75"/>
    </row>
    <row r="95" spans="2:17" x14ac:dyDescent="0.2">
      <c r="B95" s="2" t="s">
        <v>65</v>
      </c>
      <c r="C95" s="76"/>
      <c r="D95" s="76"/>
      <c r="E95" s="76"/>
      <c r="F95" s="76"/>
      <c r="G95" s="76"/>
      <c r="H95" s="76"/>
      <c r="I95" s="77"/>
      <c r="J95" s="23" t="s">
        <v>139</v>
      </c>
    </row>
    <row r="96" spans="2:17" x14ac:dyDescent="0.2">
      <c r="B96" s="128" t="s">
        <v>66</v>
      </c>
      <c r="C96" s="129"/>
      <c r="D96" s="78">
        <v>1</v>
      </c>
      <c r="E96" s="78">
        <f>D96+1</f>
        <v>2</v>
      </c>
      <c r="F96" s="78">
        <f>E96+1</f>
        <v>3</v>
      </c>
      <c r="G96" s="78">
        <f>F96+1</f>
        <v>4</v>
      </c>
      <c r="H96" s="78">
        <f>G96+1</f>
        <v>5</v>
      </c>
      <c r="I96" s="3">
        <f>H96+1</f>
        <v>6</v>
      </c>
      <c r="J96" s="23" t="s">
        <v>56</v>
      </c>
    </row>
    <row r="97" spans="2:15" x14ac:dyDescent="0.2">
      <c r="B97" s="5" t="s">
        <v>82</v>
      </c>
      <c r="C97" s="9"/>
      <c r="D97" s="79">
        <f>P73</f>
        <v>0.03</v>
      </c>
      <c r="E97" s="79">
        <f>P73</f>
        <v>0.03</v>
      </c>
      <c r="F97" s="79">
        <f>Q73</f>
        <v>0.03</v>
      </c>
      <c r="G97" s="79">
        <f>R73</f>
        <v>2.5000000000000001E-2</v>
      </c>
      <c r="H97" s="79">
        <f>G97</f>
        <v>2.5000000000000001E-2</v>
      </c>
      <c r="I97" s="118">
        <f>H97</f>
        <v>2.5000000000000001E-2</v>
      </c>
      <c r="J97" s="23" t="s">
        <v>16</v>
      </c>
    </row>
    <row r="98" spans="2:15" x14ac:dyDescent="0.2">
      <c r="B98" s="5" t="s">
        <v>83</v>
      </c>
      <c r="C98" s="9"/>
      <c r="D98" s="80">
        <f>C61*12</f>
        <v>180000</v>
      </c>
      <c r="E98" s="80">
        <f>D36*E63*12</f>
        <v>198000</v>
      </c>
      <c r="F98" s="80">
        <f>E98*(1+E97)</f>
        <v>203940</v>
      </c>
      <c r="G98" s="80">
        <f>F98*(1+F97)</f>
        <v>210058.2</v>
      </c>
      <c r="H98" s="80">
        <f t="shared" ref="H98:I98" si="0">G98*(1+G97)</f>
        <v>215309.655</v>
      </c>
      <c r="I98" s="90">
        <f t="shared" si="0"/>
        <v>220692.39637499998</v>
      </c>
      <c r="J98" s="23" t="s">
        <v>115</v>
      </c>
    </row>
    <row r="99" spans="2:15" x14ac:dyDescent="0.2">
      <c r="B99" s="5" t="s">
        <v>84</v>
      </c>
      <c r="C99" s="9"/>
      <c r="D99" s="81">
        <f>O72</f>
        <v>3.5000000000000003E-2</v>
      </c>
      <c r="E99" s="81">
        <f t="shared" ref="E99:I99" si="1">P72</f>
        <v>3.9E-2</v>
      </c>
      <c r="F99" s="81">
        <f t="shared" si="1"/>
        <v>3.5999999999999997E-2</v>
      </c>
      <c r="G99" s="79">
        <f t="shared" si="1"/>
        <v>2.5000000000000001E-2</v>
      </c>
      <c r="H99" s="79">
        <f t="shared" si="1"/>
        <v>2.5000000000000001E-2</v>
      </c>
      <c r="I99" s="118">
        <f t="shared" si="1"/>
        <v>2.5000000000000001E-2</v>
      </c>
      <c r="J99" s="23" t="s">
        <v>135</v>
      </c>
      <c r="L99" s="4"/>
      <c r="M99" s="4"/>
      <c r="N99" s="4"/>
    </row>
    <row r="100" spans="2:15" x14ac:dyDescent="0.2">
      <c r="B100" s="5" t="s">
        <v>85</v>
      </c>
      <c r="C100" s="9"/>
      <c r="D100" s="82">
        <f>(C37+C40)*E66*12</f>
        <v>453750</v>
      </c>
      <c r="E100" s="83">
        <f>((D37+C40)*E66*12)*(1+D99)</f>
        <v>547256.25</v>
      </c>
      <c r="F100" s="83">
        <f t="shared" ref="F100:I100" si="2">E100*(1+E99)</f>
        <v>568599.24374999991</v>
      </c>
      <c r="G100" s="83">
        <f t="shared" si="2"/>
        <v>589068.81652499991</v>
      </c>
      <c r="H100" s="83">
        <f t="shared" si="2"/>
        <v>603795.53693812492</v>
      </c>
      <c r="I100" s="84">
        <f t="shared" si="2"/>
        <v>618890.425361578</v>
      </c>
      <c r="J100" s="23" t="s">
        <v>91</v>
      </c>
      <c r="L100" s="4"/>
      <c r="M100" s="4"/>
      <c r="N100" s="4"/>
    </row>
    <row r="101" spans="2:15" x14ac:dyDescent="0.2">
      <c r="B101" s="5" t="s">
        <v>137</v>
      </c>
      <c r="C101" s="9"/>
      <c r="D101" s="81">
        <f t="shared" ref="D101:I101" si="3">O72</f>
        <v>3.5000000000000003E-2</v>
      </c>
      <c r="E101" s="81">
        <f t="shared" si="3"/>
        <v>3.9E-2</v>
      </c>
      <c r="F101" s="81">
        <f t="shared" si="3"/>
        <v>3.5999999999999997E-2</v>
      </c>
      <c r="G101" s="79">
        <f t="shared" si="3"/>
        <v>2.5000000000000001E-2</v>
      </c>
      <c r="H101" s="79">
        <f t="shared" si="3"/>
        <v>2.5000000000000001E-2</v>
      </c>
      <c r="I101" s="118">
        <f t="shared" si="3"/>
        <v>2.5000000000000001E-2</v>
      </c>
      <c r="J101" s="23" t="s">
        <v>135</v>
      </c>
      <c r="L101" s="4"/>
      <c r="M101" s="4"/>
      <c r="N101" s="4"/>
    </row>
    <row r="102" spans="2:15" x14ac:dyDescent="0.2">
      <c r="B102" s="5" t="s">
        <v>138</v>
      </c>
      <c r="C102" s="9"/>
      <c r="D102" s="82">
        <f>(C38+C42)*C69*12</f>
        <v>229500</v>
      </c>
      <c r="E102" s="83">
        <f>D102*(1+D101)</f>
        <v>237532.49999999997</v>
      </c>
      <c r="F102" s="83">
        <f>E102*(1+E101)</f>
        <v>246796.26749999996</v>
      </c>
      <c r="G102" s="83">
        <f>F102*(1+F101)</f>
        <v>255680.93312999996</v>
      </c>
      <c r="H102" s="83">
        <f t="shared" ref="H102" si="4">G102*(1+G101)</f>
        <v>262072.95645824994</v>
      </c>
      <c r="I102" s="84">
        <f t="shared" ref="I102" si="5">H102*(1+H101)</f>
        <v>268624.78036970616</v>
      </c>
      <c r="J102" s="23" t="s">
        <v>91</v>
      </c>
      <c r="L102" s="4"/>
      <c r="M102" s="4"/>
      <c r="N102" s="4"/>
    </row>
    <row r="103" spans="2:15" x14ac:dyDescent="0.2">
      <c r="B103" s="5" t="s">
        <v>142</v>
      </c>
      <c r="C103" s="9"/>
      <c r="D103" s="81">
        <v>0</v>
      </c>
      <c r="E103" s="81">
        <v>0</v>
      </c>
      <c r="F103" s="81">
        <v>0</v>
      </c>
      <c r="G103" s="79">
        <v>0</v>
      </c>
      <c r="H103" s="79">
        <f>G103</f>
        <v>0</v>
      </c>
      <c r="I103" s="118">
        <f>H103</f>
        <v>0</v>
      </c>
      <c r="J103" s="23" t="s">
        <v>177</v>
      </c>
      <c r="L103" s="4"/>
      <c r="M103" s="4"/>
      <c r="N103" s="4"/>
    </row>
    <row r="104" spans="2:15" x14ac:dyDescent="0.2">
      <c r="B104" s="5" t="s">
        <v>86</v>
      </c>
      <c r="C104" s="9"/>
      <c r="D104" s="82">
        <f>(C46*C52)*12</f>
        <v>68250</v>
      </c>
      <c r="E104" s="83">
        <f>D104*(1+D103)</f>
        <v>68250</v>
      </c>
      <c r="F104" s="83">
        <f t="shared" ref="F104:I104" si="6">E104*(1+E103)</f>
        <v>68250</v>
      </c>
      <c r="G104" s="83">
        <f t="shared" si="6"/>
        <v>68250</v>
      </c>
      <c r="H104" s="83">
        <f t="shared" si="6"/>
        <v>68250</v>
      </c>
      <c r="I104" s="84">
        <f t="shared" si="6"/>
        <v>68250</v>
      </c>
      <c r="L104" s="4"/>
      <c r="M104" s="4"/>
      <c r="N104" s="4"/>
    </row>
    <row r="105" spans="2:15" x14ac:dyDescent="0.2">
      <c r="B105" s="5" t="s">
        <v>87</v>
      </c>
      <c r="C105" s="9"/>
      <c r="D105" s="82">
        <f>C57*12</f>
        <v>6000</v>
      </c>
      <c r="E105" s="83">
        <f>D105*(1+D103)</f>
        <v>6000</v>
      </c>
      <c r="F105" s="83">
        <f t="shared" ref="F105:H105" si="7">E105*(1+E103)</f>
        <v>6000</v>
      </c>
      <c r="G105" s="83">
        <f t="shared" si="7"/>
        <v>6000</v>
      </c>
      <c r="H105" s="83">
        <f t="shared" si="7"/>
        <v>6000</v>
      </c>
      <c r="I105" s="84">
        <f>H105*(1+H103)</f>
        <v>6000</v>
      </c>
      <c r="L105" s="4"/>
      <c r="M105" s="4"/>
      <c r="N105" s="4"/>
    </row>
    <row r="106" spans="2:15" x14ac:dyDescent="0.2">
      <c r="B106" s="7" t="s">
        <v>67</v>
      </c>
      <c r="C106" s="85"/>
      <c r="D106" s="10">
        <f>D98+D100+D104+D105+D102</f>
        <v>937500</v>
      </c>
      <c r="E106" s="10">
        <f t="shared" ref="E106:I106" si="8">E98+E100+E104+E105+E102</f>
        <v>1057038.75</v>
      </c>
      <c r="F106" s="10">
        <f t="shared" si="8"/>
        <v>1093585.51125</v>
      </c>
      <c r="G106" s="10">
        <f t="shared" si="8"/>
        <v>1129057.9496549999</v>
      </c>
      <c r="H106" s="10">
        <f t="shared" si="8"/>
        <v>1155428.1483963749</v>
      </c>
      <c r="I106" s="8">
        <f t="shared" si="8"/>
        <v>1182457.6021062841</v>
      </c>
      <c r="L106" s="4"/>
      <c r="M106" s="4"/>
      <c r="N106" s="4"/>
    </row>
    <row r="107" spans="2:15" s="22" customFormat="1" x14ac:dyDescent="0.2">
      <c r="B107" s="5" t="s">
        <v>141</v>
      </c>
      <c r="C107" s="86"/>
      <c r="D107" s="87">
        <f>E41</f>
        <v>4.4776119402985072E-2</v>
      </c>
      <c r="E107" s="79">
        <f>H33</f>
        <v>0.20398009950248755</v>
      </c>
      <c r="F107" s="79">
        <f>E41</f>
        <v>4.4776119402985072E-2</v>
      </c>
      <c r="G107" s="79">
        <f t="shared" ref="G107:I107" si="9">F107</f>
        <v>4.4776119402985072E-2</v>
      </c>
      <c r="H107" s="79">
        <f t="shared" si="9"/>
        <v>4.4776119402985072E-2</v>
      </c>
      <c r="I107" s="118">
        <f t="shared" si="9"/>
        <v>4.4776119402985072E-2</v>
      </c>
      <c r="J107" s="23" t="s">
        <v>188</v>
      </c>
      <c r="K107" s="23"/>
      <c r="L107" s="4"/>
      <c r="M107" s="4"/>
      <c r="N107" s="4"/>
      <c r="O107" s="23"/>
    </row>
    <row r="108" spans="2:15" x14ac:dyDescent="0.2">
      <c r="B108" s="5" t="s">
        <v>88</v>
      </c>
      <c r="C108" s="86"/>
      <c r="D108" s="9">
        <f>K46</f>
        <v>6.2538546934747752E-2</v>
      </c>
      <c r="E108" s="81">
        <f>J42</f>
        <v>0.1050806573194633</v>
      </c>
      <c r="F108" s="9">
        <f>F107</f>
        <v>4.4776119402985072E-2</v>
      </c>
      <c r="G108" s="9">
        <f t="shared" ref="G108:I108" si="10">G107</f>
        <v>4.4776119402985072E-2</v>
      </c>
      <c r="H108" s="9">
        <f t="shared" si="10"/>
        <v>4.4776119402985072E-2</v>
      </c>
      <c r="I108" s="119">
        <f t="shared" si="10"/>
        <v>4.4776119402985072E-2</v>
      </c>
      <c r="J108" s="23" t="s">
        <v>189</v>
      </c>
      <c r="L108" s="4"/>
      <c r="M108" s="4"/>
      <c r="N108" s="4"/>
    </row>
    <row r="109" spans="2:15" s="22" customFormat="1" x14ac:dyDescent="0.2">
      <c r="B109" s="5" t="s">
        <v>89</v>
      </c>
      <c r="C109" s="86"/>
      <c r="D109" s="9">
        <f>D108</f>
        <v>6.2538546934747752E-2</v>
      </c>
      <c r="E109" s="9">
        <f>E108</f>
        <v>0.1050806573194633</v>
      </c>
      <c r="F109" s="9">
        <f>F108</f>
        <v>4.4776119402985072E-2</v>
      </c>
      <c r="G109" s="9">
        <f t="shared" ref="G109:I109" si="11">F109</f>
        <v>4.4776119402985072E-2</v>
      </c>
      <c r="H109" s="9">
        <f t="shared" si="11"/>
        <v>4.4776119402985072E-2</v>
      </c>
      <c r="I109" s="119">
        <f t="shared" si="11"/>
        <v>4.4776119402985072E-2</v>
      </c>
      <c r="J109" s="23" t="s">
        <v>187</v>
      </c>
      <c r="K109" s="23"/>
      <c r="L109" s="4"/>
      <c r="M109" s="4"/>
      <c r="N109" s="4"/>
      <c r="O109" s="23"/>
    </row>
    <row r="110" spans="2:15" x14ac:dyDescent="0.2">
      <c r="B110" s="6" t="s">
        <v>90</v>
      </c>
      <c r="C110" s="86"/>
      <c r="D110" s="9">
        <f>D107</f>
        <v>4.4776119402985072E-2</v>
      </c>
      <c r="E110" s="9">
        <f>D110</f>
        <v>4.4776119402985072E-2</v>
      </c>
      <c r="F110" s="9">
        <f t="shared" ref="F110:I110" si="12">E110</f>
        <v>4.4776119402985072E-2</v>
      </c>
      <c r="G110" s="9">
        <f t="shared" si="12"/>
        <v>4.4776119402985072E-2</v>
      </c>
      <c r="H110" s="9">
        <f t="shared" si="12"/>
        <v>4.4776119402985072E-2</v>
      </c>
      <c r="I110" s="119">
        <f t="shared" si="12"/>
        <v>4.4776119402985072E-2</v>
      </c>
      <c r="L110" s="4"/>
      <c r="M110" s="4"/>
      <c r="N110" s="4"/>
    </row>
    <row r="111" spans="2:15" x14ac:dyDescent="0.2">
      <c r="B111" s="5" t="s">
        <v>151</v>
      </c>
      <c r="C111" s="86"/>
      <c r="D111" s="9">
        <f>K50</f>
        <v>6.3437139561707045E-2</v>
      </c>
      <c r="E111" s="9">
        <f>E43</f>
        <v>5.8823529411764705E-2</v>
      </c>
      <c r="F111" s="9">
        <f t="shared" ref="F111:I111" si="13">E111</f>
        <v>5.8823529411764705E-2</v>
      </c>
      <c r="G111" s="9">
        <f t="shared" si="13"/>
        <v>5.8823529411764705E-2</v>
      </c>
      <c r="H111" s="9">
        <f t="shared" si="13"/>
        <v>5.8823529411764705E-2</v>
      </c>
      <c r="I111" s="119">
        <f t="shared" si="13"/>
        <v>5.8823529411764705E-2</v>
      </c>
      <c r="J111" s="23" t="s">
        <v>190</v>
      </c>
      <c r="L111" s="4"/>
      <c r="M111" s="4"/>
      <c r="N111" s="4"/>
    </row>
    <row r="112" spans="2:15" x14ac:dyDescent="0.2">
      <c r="B112" s="5" t="s">
        <v>68</v>
      </c>
      <c r="C112" s="86"/>
      <c r="D112" s="88">
        <f>-(D98*D107+D100*D108+D104*D109+D105*D110+D102*D111)</f>
        <v>-55532.303238305314</v>
      </c>
      <c r="E112" s="88">
        <f t="shared" ref="E112:I112" si="14">-(E98*E107+E100*E108+E104*E109+E105*E110+E102*E111)</f>
        <v>-119307.01775214836</v>
      </c>
      <c r="F112" s="88">
        <f t="shared" si="14"/>
        <v>-52433.363787313421</v>
      </c>
      <c r="G112" s="88">
        <f t="shared" si="14"/>
        <v>-54146.488465746261</v>
      </c>
      <c r="H112" s="88">
        <f t="shared" si="14"/>
        <v>-55417.035005748112</v>
      </c>
      <c r="I112" s="120">
        <f t="shared" si="14"/>
        <v>-56719.345209250023</v>
      </c>
      <c r="L112" s="4"/>
      <c r="M112" s="4"/>
      <c r="N112" s="4"/>
    </row>
    <row r="113" spans="2:10" x14ac:dyDescent="0.2">
      <c r="B113" s="7" t="s">
        <v>69</v>
      </c>
      <c r="C113" s="85"/>
      <c r="D113" s="10">
        <f t="shared" ref="D113:I113" si="15">D106+D112</f>
        <v>881967.69676169474</v>
      </c>
      <c r="E113" s="10">
        <f t="shared" si="15"/>
        <v>937731.73224785167</v>
      </c>
      <c r="F113" s="10">
        <f t="shared" si="15"/>
        <v>1041152.1474626865</v>
      </c>
      <c r="G113" s="10">
        <f t="shared" si="15"/>
        <v>1074911.4611892537</v>
      </c>
      <c r="H113" s="10">
        <f t="shared" si="15"/>
        <v>1100011.1133906269</v>
      </c>
      <c r="I113" s="8">
        <f t="shared" si="15"/>
        <v>1125738.2568970341</v>
      </c>
    </row>
    <row r="114" spans="2:10" x14ac:dyDescent="0.2">
      <c r="B114" s="5" t="s">
        <v>70</v>
      </c>
      <c r="C114" s="9"/>
      <c r="D114" s="79">
        <f>O72</f>
        <v>3.5000000000000003E-2</v>
      </c>
      <c r="E114" s="79">
        <f>P72</f>
        <v>3.9E-2</v>
      </c>
      <c r="F114" s="79">
        <f>Q72</f>
        <v>3.5999999999999997E-2</v>
      </c>
      <c r="G114" s="79">
        <f>R72</f>
        <v>2.5000000000000001E-2</v>
      </c>
      <c r="H114" s="79">
        <f t="shared" ref="H114:I114" si="16">G114</f>
        <v>2.5000000000000001E-2</v>
      </c>
      <c r="I114" s="118">
        <f t="shared" si="16"/>
        <v>2.5000000000000001E-2</v>
      </c>
      <c r="J114" s="23" t="s">
        <v>71</v>
      </c>
    </row>
    <row r="115" spans="2:10" x14ac:dyDescent="0.2">
      <c r="B115" s="5" t="s">
        <v>72</v>
      </c>
      <c r="C115" s="89"/>
      <c r="D115" s="80">
        <f>-C78</f>
        <v>-46090</v>
      </c>
      <c r="E115" s="80">
        <f>D115*(1+D114)</f>
        <v>-47703.149999999994</v>
      </c>
      <c r="F115" s="80">
        <f>E115*(1+E114)</f>
        <v>-49563.57284999999</v>
      </c>
      <c r="G115" s="80">
        <f>F115*(1+F114)</f>
        <v>-51347.861472599994</v>
      </c>
      <c r="H115" s="80">
        <f>G115*(1+G114)</f>
        <v>-52631.558009414992</v>
      </c>
      <c r="I115" s="90">
        <f>H115*(1+H114)</f>
        <v>-53947.346959650364</v>
      </c>
      <c r="J115" s="23" t="s">
        <v>170</v>
      </c>
    </row>
    <row r="116" spans="2:10" x14ac:dyDescent="0.2">
      <c r="B116" s="7" t="s">
        <v>73</v>
      </c>
      <c r="C116" s="85"/>
      <c r="D116" s="10">
        <f>D113+D115</f>
        <v>835877.69676169474</v>
      </c>
      <c r="E116" s="10">
        <f t="shared" ref="E116:I116" si="17">E113+E115</f>
        <v>890028.58224785165</v>
      </c>
      <c r="F116" s="10">
        <f t="shared" si="17"/>
        <v>991588.57461268653</v>
      </c>
      <c r="G116" s="10">
        <f t="shared" si="17"/>
        <v>1023563.5997166537</v>
      </c>
      <c r="H116" s="10">
        <f t="shared" si="17"/>
        <v>1047379.5553812119</v>
      </c>
      <c r="I116" s="10">
        <f t="shared" si="17"/>
        <v>1071790.9099373838</v>
      </c>
    </row>
    <row r="117" spans="2:10" ht="25.5" x14ac:dyDescent="0.2">
      <c r="B117" s="91" t="s">
        <v>152</v>
      </c>
      <c r="C117" s="85"/>
      <c r="D117" s="10"/>
      <c r="E117" s="143">
        <f>-C36*(250*1.2)</f>
        <v>-600000</v>
      </c>
      <c r="F117" s="80"/>
      <c r="G117" s="10"/>
      <c r="H117" s="10"/>
      <c r="I117" s="11"/>
      <c r="J117" s="23" t="s">
        <v>191</v>
      </c>
    </row>
    <row r="118" spans="2:10" x14ac:dyDescent="0.2">
      <c r="B118" s="92" t="s">
        <v>74</v>
      </c>
      <c r="C118" s="93">
        <f>D91</f>
        <v>1.4999999999999999E-2</v>
      </c>
      <c r="D118" s="94"/>
      <c r="E118" s="94"/>
      <c r="F118" s="94"/>
      <c r="G118" s="94"/>
      <c r="H118" s="83">
        <f>I116/E83</f>
        <v>13397386.374217298</v>
      </c>
      <c r="I118" s="95"/>
    </row>
    <row r="119" spans="2:10" x14ac:dyDescent="0.2">
      <c r="B119" s="92" t="s">
        <v>0</v>
      </c>
      <c r="C119" s="81"/>
      <c r="D119" s="94"/>
      <c r="E119" s="94"/>
      <c r="F119" s="94"/>
      <c r="G119" s="94"/>
      <c r="H119" s="83">
        <f>H118*C118</f>
        <v>200960.79561325946</v>
      </c>
      <c r="I119" s="95"/>
    </row>
    <row r="120" spans="2:10" x14ac:dyDescent="0.2">
      <c r="B120" s="92" t="s">
        <v>75</v>
      </c>
      <c r="C120" s="96"/>
      <c r="D120" s="94"/>
      <c r="E120" s="94"/>
      <c r="F120" s="94"/>
      <c r="G120" s="94"/>
      <c r="H120" s="83">
        <f>H118-H119</f>
        <v>13196425.578604039</v>
      </c>
      <c r="I120" s="95"/>
    </row>
    <row r="121" spans="2:10" x14ac:dyDescent="0.2">
      <c r="B121" s="12" t="s">
        <v>76</v>
      </c>
      <c r="C121" s="13"/>
      <c r="D121" s="14">
        <f>D116+D117</f>
        <v>835877.69676169474</v>
      </c>
      <c r="E121" s="14">
        <f>E116+E117</f>
        <v>290028.58224785165</v>
      </c>
      <c r="F121" s="14">
        <f>F116+F117</f>
        <v>991588.57461268653</v>
      </c>
      <c r="G121" s="14">
        <f>G116+G117</f>
        <v>1023563.5997166537</v>
      </c>
      <c r="H121" s="14">
        <f>H116+H120</f>
        <v>14243805.133985251</v>
      </c>
      <c r="I121" s="95"/>
    </row>
    <row r="122" spans="2:10" x14ac:dyDescent="0.2">
      <c r="B122" s="5" t="s">
        <v>77</v>
      </c>
      <c r="C122" s="93">
        <f>E85</f>
        <v>0.10075000000000001</v>
      </c>
      <c r="D122" s="94">
        <f>1/(1+$E$85)</f>
        <v>0.90847149670679073</v>
      </c>
      <c r="E122" s="94">
        <f>D122/(1+$E$85)</f>
        <v>0.82532046032867645</v>
      </c>
      <c r="F122" s="94">
        <f>E122/(1+$E$85)</f>
        <v>0.74978011385753018</v>
      </c>
      <c r="G122" s="94">
        <f>F122/(1+$E$85)</f>
        <v>0.68115386223713836</v>
      </c>
      <c r="H122" s="94">
        <f>G122/(1+$E$85)</f>
        <v>0.61880886871418428</v>
      </c>
      <c r="I122" s="95"/>
    </row>
    <row r="123" spans="2:10" x14ac:dyDescent="0.2">
      <c r="B123" s="7" t="s">
        <v>78</v>
      </c>
      <c r="C123" s="85"/>
      <c r="D123" s="15">
        <f>D121*D122</f>
        <v>759371.06224092178</v>
      </c>
      <c r="E123" s="16">
        <f>E121*E122</f>
        <v>239366.52300927031</v>
      </c>
      <c r="F123" s="16">
        <f>F121*F122</f>
        <v>743473.39437292621</v>
      </c>
      <c r="G123" s="16">
        <f>G121*G122</f>
        <v>697204.29919234698</v>
      </c>
      <c r="H123" s="16">
        <f>H121*H122</f>
        <v>8814192.9411467034</v>
      </c>
      <c r="I123" s="97"/>
    </row>
    <row r="124" spans="2:10" x14ac:dyDescent="0.2">
      <c r="B124" s="12" t="s">
        <v>79</v>
      </c>
      <c r="C124" s="17">
        <f>NPV(C122,D121:H121)</f>
        <v>11253608.219962168</v>
      </c>
      <c r="D124" s="18"/>
      <c r="E124" s="18"/>
      <c r="F124" s="18"/>
      <c r="G124" s="18"/>
      <c r="H124" s="18"/>
      <c r="I124" s="97"/>
    </row>
    <row r="125" spans="2:10" ht="13.5" thickBot="1" x14ac:dyDescent="0.25">
      <c r="B125" s="19" t="s">
        <v>80</v>
      </c>
      <c r="C125" s="20">
        <f>ROUND(C124,-4)</f>
        <v>11250000</v>
      </c>
      <c r="D125" s="98">
        <f>C125/C33</f>
        <v>1644.7368421052631</v>
      </c>
      <c r="E125" s="99" t="s">
        <v>81</v>
      </c>
      <c r="F125" s="100"/>
      <c r="G125" s="99"/>
      <c r="H125" s="99"/>
      <c r="I125" s="101"/>
    </row>
    <row r="126" spans="2:10" ht="13.5" thickBot="1" x14ac:dyDescent="0.25">
      <c r="B126" s="19" t="s">
        <v>153</v>
      </c>
      <c r="C126" s="20">
        <f>ROUND(NPV(E85,D121:H121),-4)</f>
        <v>11250000</v>
      </c>
    </row>
    <row r="127" spans="2:10" x14ac:dyDescent="0.2">
      <c r="D127" s="30"/>
    </row>
    <row r="128" spans="2:10" x14ac:dyDescent="0.2">
      <c r="B128" s="23" t="s">
        <v>192</v>
      </c>
    </row>
    <row r="129" spans="2:24" ht="14.25" x14ac:dyDescent="0.2">
      <c r="B129" s="23" t="s">
        <v>19</v>
      </c>
      <c r="K129" s="54"/>
      <c r="L129" s="54"/>
      <c r="M129" s="54"/>
      <c r="N129" s="54"/>
      <c r="O129" s="54"/>
      <c r="P129" s="54"/>
      <c r="Q129" s="54"/>
      <c r="R129" s="54"/>
      <c r="S129" s="54"/>
      <c r="T129" s="54"/>
      <c r="U129" s="54"/>
      <c r="V129" s="54"/>
      <c r="W129" s="54"/>
      <c r="X129" s="54"/>
    </row>
    <row r="130" spans="2:24" ht="14.25" x14ac:dyDescent="0.2">
      <c r="B130" s="23" t="s">
        <v>64</v>
      </c>
      <c r="K130" s="54"/>
      <c r="L130" s="102"/>
      <c r="M130" s="103"/>
      <c r="N130" s="54"/>
      <c r="O130" s="54"/>
      <c r="P130" s="54"/>
      <c r="Q130" s="54"/>
      <c r="R130" s="54"/>
      <c r="S130" s="54"/>
      <c r="T130" s="54"/>
      <c r="U130" s="54"/>
      <c r="V130" s="54"/>
      <c r="W130" s="54"/>
      <c r="X130" s="54"/>
    </row>
    <row r="131" spans="2:24" ht="14.25" x14ac:dyDescent="0.2">
      <c r="B131" s="23" t="s">
        <v>178</v>
      </c>
      <c r="I131" s="49"/>
      <c r="K131" s="54"/>
      <c r="L131" s="102"/>
      <c r="M131" s="102"/>
      <c r="N131" s="54"/>
      <c r="O131" s="54"/>
      <c r="P131" s="54"/>
      <c r="Q131" s="54"/>
      <c r="R131" s="54"/>
      <c r="S131" s="54"/>
      <c r="T131" s="54"/>
      <c r="U131" s="54"/>
      <c r="V131" s="54"/>
      <c r="W131" s="54"/>
      <c r="X131" s="54"/>
    </row>
    <row r="132" spans="2:24" ht="15" x14ac:dyDescent="0.25">
      <c r="K132" s="104"/>
      <c r="L132" s="105"/>
      <c r="M132" s="54"/>
      <c r="N132" s="54"/>
      <c r="O132" s="54"/>
      <c r="P132" s="54"/>
      <c r="Q132" s="54"/>
      <c r="R132" s="54"/>
      <c r="S132" s="54"/>
      <c r="T132" s="54"/>
      <c r="U132" s="54"/>
      <c r="V132" s="54"/>
      <c r="W132" s="54"/>
      <c r="X132" s="54"/>
    </row>
    <row r="133" spans="2:24" ht="14.25" x14ac:dyDescent="0.2">
      <c r="K133" s="54"/>
      <c r="L133" s="54"/>
      <c r="M133" s="54"/>
      <c r="N133" s="54"/>
      <c r="O133" s="54"/>
      <c r="P133" s="54"/>
      <c r="Q133" s="54"/>
      <c r="R133" s="54"/>
      <c r="S133" s="54"/>
      <c r="T133" s="54"/>
      <c r="U133" s="54"/>
      <c r="V133" s="54"/>
      <c r="W133" s="54"/>
      <c r="X133" s="54"/>
    </row>
    <row r="134" spans="2:24" ht="14.25" x14ac:dyDescent="0.2">
      <c r="K134" s="54"/>
      <c r="L134" s="54"/>
      <c r="M134" s="54"/>
      <c r="N134" s="54"/>
      <c r="O134" s="54"/>
      <c r="P134" s="54"/>
      <c r="Q134" s="54"/>
      <c r="R134" s="54"/>
      <c r="S134" s="54"/>
      <c r="T134" s="54"/>
      <c r="U134" s="54"/>
      <c r="V134" s="54"/>
      <c r="W134" s="54"/>
      <c r="X134" s="54"/>
    </row>
    <row r="135" spans="2:24" ht="14.25" x14ac:dyDescent="0.2">
      <c r="K135" s="54"/>
      <c r="L135" s="54"/>
      <c r="M135" s="102"/>
      <c r="N135" s="54"/>
      <c r="O135" s="54"/>
      <c r="P135" s="54"/>
      <c r="Q135" s="54"/>
      <c r="R135" s="54"/>
      <c r="S135" s="54"/>
      <c r="T135" s="54"/>
      <c r="U135" s="54"/>
      <c r="V135" s="54"/>
      <c r="W135" s="54"/>
      <c r="X135" s="54"/>
    </row>
    <row r="136" spans="2:24" ht="14.25" x14ac:dyDescent="0.2">
      <c r="K136" s="54"/>
      <c r="L136" s="54"/>
      <c r="M136" s="102"/>
      <c r="N136" s="54"/>
      <c r="O136" s="54"/>
      <c r="P136" s="54"/>
      <c r="Q136" s="54"/>
      <c r="R136" s="54"/>
      <c r="S136" s="54"/>
      <c r="T136" s="54"/>
      <c r="U136" s="54"/>
      <c r="V136" s="54"/>
      <c r="W136" s="54"/>
      <c r="X136" s="54"/>
    </row>
    <row r="137" spans="2:24" ht="14.25" x14ac:dyDescent="0.2">
      <c r="K137" s="54"/>
      <c r="L137" s="54"/>
      <c r="M137" s="102"/>
      <c r="N137" s="54"/>
      <c r="O137" s="54"/>
      <c r="P137" s="54"/>
      <c r="Q137" s="54"/>
      <c r="R137" s="54"/>
      <c r="S137" s="54"/>
      <c r="T137" s="54"/>
      <c r="U137" s="54"/>
      <c r="V137" s="54"/>
      <c r="W137" s="54"/>
      <c r="X137" s="54"/>
    </row>
    <row r="138" spans="2:24" ht="14.25" x14ac:dyDescent="0.2">
      <c r="K138" s="54"/>
      <c r="L138" s="54"/>
      <c r="M138" s="102"/>
      <c r="N138" s="54"/>
      <c r="O138" s="54"/>
      <c r="P138" s="54"/>
      <c r="Q138" s="54"/>
      <c r="R138" s="54"/>
      <c r="S138" s="54"/>
      <c r="T138" s="54"/>
      <c r="U138" s="54"/>
      <c r="V138" s="54"/>
      <c r="W138" s="54"/>
      <c r="X138" s="54"/>
    </row>
    <row r="139" spans="2:24" ht="14.25" x14ac:dyDescent="0.2">
      <c r="K139" s="54"/>
      <c r="L139" s="54"/>
      <c r="M139" s="102"/>
      <c r="N139" s="54"/>
      <c r="O139" s="54"/>
      <c r="P139" s="54"/>
      <c r="Q139" s="54"/>
      <c r="R139" s="54"/>
      <c r="S139" s="54"/>
      <c r="T139" s="54"/>
      <c r="U139" s="54"/>
      <c r="V139" s="54"/>
      <c r="W139" s="54"/>
      <c r="X139" s="54"/>
    </row>
    <row r="140" spans="2:24" ht="14.25" x14ac:dyDescent="0.2">
      <c r="K140" s="54"/>
      <c r="L140" s="54"/>
      <c r="M140" s="102"/>
      <c r="N140" s="54"/>
      <c r="O140" s="54"/>
      <c r="P140" s="54"/>
      <c r="Q140" s="54"/>
      <c r="R140" s="54"/>
      <c r="S140" s="54"/>
      <c r="T140" s="54"/>
      <c r="U140" s="54"/>
      <c r="V140" s="54"/>
      <c r="W140" s="54"/>
      <c r="X140" s="54"/>
    </row>
    <row r="141" spans="2:24" ht="14.25" x14ac:dyDescent="0.2">
      <c r="K141" s="54"/>
      <c r="L141" s="54"/>
      <c r="M141" s="102"/>
      <c r="N141" s="54"/>
      <c r="O141" s="54"/>
      <c r="P141" s="54"/>
      <c r="Q141" s="54"/>
      <c r="R141" s="54"/>
      <c r="S141" s="54"/>
      <c r="T141" s="54"/>
      <c r="U141" s="54"/>
      <c r="V141" s="106"/>
      <c r="W141" s="54"/>
      <c r="X141" s="54"/>
    </row>
    <row r="142" spans="2:24" ht="14.25" x14ac:dyDescent="0.2">
      <c r="K142" s="54"/>
      <c r="L142" s="54"/>
      <c r="M142" s="102"/>
      <c r="O142" s="54"/>
      <c r="P142" s="54"/>
      <c r="Q142" s="54"/>
      <c r="R142" s="54"/>
      <c r="S142" s="54"/>
      <c r="T142" s="54"/>
      <c r="U142" s="54"/>
      <c r="V142" s="54"/>
      <c r="W142" s="54"/>
      <c r="X142" s="54"/>
    </row>
    <row r="143" spans="2:24" ht="14.25" x14ac:dyDescent="0.2">
      <c r="K143" s="54"/>
      <c r="L143" s="54"/>
      <c r="M143" s="54"/>
      <c r="N143" s="54"/>
      <c r="O143" s="54"/>
      <c r="P143" s="54"/>
      <c r="Q143" s="54"/>
      <c r="R143" s="54"/>
      <c r="S143" s="54"/>
      <c r="T143" s="54"/>
      <c r="U143" s="54"/>
      <c r="V143" s="54"/>
      <c r="W143" s="54"/>
      <c r="X143" s="54"/>
    </row>
    <row r="144" spans="2:24" ht="14.25" x14ac:dyDescent="0.2">
      <c r="K144" s="54"/>
      <c r="L144" s="54"/>
      <c r="M144" s="54"/>
      <c r="N144" s="54"/>
      <c r="O144" s="54"/>
      <c r="P144" s="54"/>
      <c r="Q144" s="54"/>
      <c r="R144" s="54"/>
      <c r="S144" s="54"/>
      <c r="T144" s="54"/>
      <c r="U144" s="54"/>
      <c r="V144" s="54"/>
      <c r="W144" s="54"/>
      <c r="X144" s="54"/>
    </row>
    <row r="145" spans="11:24" ht="14.25" x14ac:dyDescent="0.2">
      <c r="K145" s="54"/>
      <c r="L145" s="54"/>
      <c r="M145" s="54"/>
      <c r="N145" s="54"/>
      <c r="O145" s="54"/>
      <c r="P145" s="54"/>
      <c r="Q145" s="54"/>
      <c r="R145" s="54"/>
      <c r="S145" s="54"/>
      <c r="T145" s="54"/>
      <c r="U145" s="54"/>
      <c r="V145" s="54"/>
      <c r="W145" s="54"/>
      <c r="X145" s="54"/>
    </row>
  </sheetData>
  <mergeCells count="20">
    <mergeCell ref="C27:E27"/>
    <mergeCell ref="C28:E28"/>
    <mergeCell ref="F22:H22"/>
    <mergeCell ref="F23:H24"/>
    <mergeCell ref="D2:J2"/>
    <mergeCell ref="B12:G12"/>
    <mergeCell ref="B96:C96"/>
    <mergeCell ref="B8:G8"/>
    <mergeCell ref="C17:E17"/>
    <mergeCell ref="C18:E18"/>
    <mergeCell ref="C19:E19"/>
    <mergeCell ref="C20:E20"/>
    <mergeCell ref="C21:E21"/>
    <mergeCell ref="C22:E22"/>
    <mergeCell ref="C25:E25"/>
    <mergeCell ref="C26:E26"/>
    <mergeCell ref="C23:E24"/>
    <mergeCell ref="B9:G9"/>
    <mergeCell ref="B10:G10"/>
    <mergeCell ref="B11:G11"/>
  </mergeCells>
  <pageMargins left="0.7" right="0.7" top="0.75" bottom="0.75" header="0.3" footer="0.3"/>
  <pageSetup paperSize="9" orientation="portrait" r:id="rId1"/>
  <ignoredErrors>
    <ignoredError sqref="D62:D66" twoDigitTextYea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VH_tulumeetod_lahendus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Sergei Surnin</dc:creator>
  <cp:lastModifiedBy>Kersti Soomuste</cp:lastModifiedBy>
  <cp:lastPrinted>2021-10-11T10:55:11Z</cp:lastPrinted>
  <dcterms:created xsi:type="dcterms:W3CDTF">2016-07-05T08:33:13Z</dcterms:created>
  <dcterms:modified xsi:type="dcterms:W3CDTF">2025-09-24T08:19:18Z</dcterms:modified>
</cp:coreProperties>
</file>