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ntra.ttu.ee\home\ene.kolbre\Documents\Hindeks 2019 sügis\"/>
    </mc:Choice>
  </mc:AlternateContent>
  <bookViews>
    <workbookView xWindow="0" yWindow="0" windowWidth="18870" windowHeight="759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F52" i="1"/>
  <c r="F51" i="1"/>
  <c r="G48" i="1"/>
  <c r="F48" i="1"/>
  <c r="E48" i="1"/>
  <c r="D48" i="1"/>
  <c r="C48" i="1"/>
  <c r="B48" i="1"/>
  <c r="C45" i="1"/>
  <c r="D45" i="1"/>
  <c r="E45" i="1"/>
  <c r="F45" i="1"/>
  <c r="G45" i="1"/>
  <c r="B45" i="1"/>
  <c r="J42" i="1" l="1"/>
  <c r="J41" i="1"/>
  <c r="J45" i="1"/>
  <c r="C47" i="1"/>
  <c r="J35" i="1" l="1"/>
  <c r="B38" i="1"/>
  <c r="B37" i="1"/>
  <c r="J44" i="1" l="1"/>
  <c r="J36" i="1" l="1"/>
  <c r="B16" i="1"/>
  <c r="B23" i="1" s="1"/>
  <c r="B10" i="1"/>
  <c r="J37" i="1" l="1"/>
  <c r="J38" i="1" s="1"/>
  <c r="J40" i="1" s="1"/>
  <c r="J43" i="1" s="1"/>
  <c r="J46" i="1" s="1"/>
  <c r="B43" i="1"/>
  <c r="C32" i="1"/>
  <c r="D32" i="1"/>
  <c r="E32" i="1"/>
  <c r="F32" i="1"/>
  <c r="B32" i="1"/>
  <c r="C37" i="1" s="1"/>
  <c r="B44" i="1"/>
  <c r="B26" i="1"/>
  <c r="E26" i="1" s="1"/>
  <c r="D37" i="1" l="1"/>
  <c r="E37" i="1"/>
  <c r="F37" i="1" s="1"/>
  <c r="K46" i="1"/>
  <c r="C38" i="1"/>
  <c r="D38" i="1" s="1"/>
  <c r="C43" i="1"/>
  <c r="D43" i="1" s="1"/>
  <c r="C44" i="1"/>
  <c r="B39" i="1"/>
  <c r="B40" i="1" s="1"/>
  <c r="B24" i="1"/>
  <c r="K7" i="1"/>
  <c r="K6" i="1"/>
  <c r="F24" i="1" l="1"/>
  <c r="E43" i="1"/>
  <c r="F43" i="1" s="1"/>
  <c r="G43" i="1" s="1"/>
  <c r="D44" i="1"/>
  <c r="F25" i="1" s="1"/>
  <c r="D39" i="1"/>
  <c r="E38" i="1"/>
  <c r="B42" i="1"/>
  <c r="J47" i="1"/>
  <c r="C39" i="1"/>
  <c r="C40" i="1" s="1"/>
  <c r="K8" i="1"/>
  <c r="B56" i="1" s="1"/>
  <c r="C56" i="1" s="1"/>
  <c r="D56" i="1" s="1"/>
  <c r="E56" i="1" s="1"/>
  <c r="F56" i="1" s="1"/>
  <c r="G37" i="1"/>
  <c r="C22" i="1"/>
  <c r="D40" i="1" l="1"/>
  <c r="D42" i="1" s="1"/>
  <c r="D52" i="1" s="1"/>
  <c r="E44" i="1"/>
  <c r="F44" i="1" s="1"/>
  <c r="G44" i="1" s="1"/>
  <c r="F38" i="1"/>
  <c r="E39" i="1"/>
  <c r="E40" i="1" s="1"/>
  <c r="C42" i="1"/>
  <c r="B52" i="1"/>
  <c r="C52" i="1" l="1"/>
  <c r="E42" i="1"/>
  <c r="G38" i="1"/>
  <c r="G39" i="1" s="1"/>
  <c r="F39" i="1"/>
  <c r="F40" i="1" s="1"/>
  <c r="G40" i="1" l="1"/>
  <c r="G42" i="1" s="1"/>
  <c r="F49" i="1" s="1"/>
  <c r="E52" i="1"/>
  <c r="F42" i="1"/>
  <c r="F50" i="1" l="1"/>
  <c r="B53" i="1" l="1"/>
  <c r="B54" i="1" s="1"/>
</calcChain>
</file>

<file path=xl/comments1.xml><?xml version="1.0" encoding="utf-8"?>
<comments xmlns="http://schemas.openxmlformats.org/spreadsheetml/2006/main">
  <authors>
    <author>tc={0517C2FC-80BD-4A75-9A62-C7F321247052}</author>
  </authors>
  <commentList>
    <comment ref="D43" authorId="0" shapeId="0">
      <text>
        <r>
          <rPr>
            <sz val="11"/>
            <color theme="1"/>
            <rFont val="Calibri"/>
            <family val="2"/>
            <charset val="186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Hoone renoveerimise järgselt on omanikukulud poole võrra madalamad</t>
        </r>
      </text>
    </comment>
  </commentList>
</comments>
</file>

<file path=xl/sharedStrings.xml><?xml version="1.0" encoding="utf-8"?>
<sst xmlns="http://schemas.openxmlformats.org/spreadsheetml/2006/main" count="103" uniqueCount="69">
  <si>
    <t>Korterite arv</t>
  </si>
  <si>
    <t>Seisukord</t>
  </si>
  <si>
    <t>Hea</t>
  </si>
  <si>
    <t>Keskmine</t>
  </si>
  <si>
    <t>Halb</t>
  </si>
  <si>
    <t>Üüritud</t>
  </si>
  <si>
    <t>SNP</t>
  </si>
  <si>
    <t>Tegelik</t>
  </si>
  <si>
    <t>WACC</t>
  </si>
  <si>
    <t>Omakapital</t>
  </si>
  <si>
    <t>Võõrkapital</t>
  </si>
  <si>
    <t>Osakaaal</t>
  </si>
  <si>
    <t xml:space="preserve">Kapitali hind </t>
  </si>
  <si>
    <t>Periood</t>
  </si>
  <si>
    <t>Korteri seisukord</t>
  </si>
  <si>
    <t>120-170</t>
  </si>
  <si>
    <t>90-110</t>
  </si>
  <si>
    <t>Kommentaar</t>
  </si>
  <si>
    <t>Vastab turutasemele</t>
  </si>
  <si>
    <t>Vakantsus</t>
  </si>
  <si>
    <t>Tegevuskulud</t>
  </si>
  <si>
    <t>Kapitalikulud</t>
  </si>
  <si>
    <r>
      <t>0,35 €/SNPm</t>
    </r>
    <r>
      <rPr>
        <sz val="11"/>
        <color theme="1"/>
        <rFont val="Calibri"/>
        <family val="2"/>
        <charset val="186"/>
      </rPr>
      <t>²/kuus</t>
    </r>
  </si>
  <si>
    <r>
      <t>Ei vasta turutasemele, valime turutasemele vastava 0,35 €/SNPm</t>
    </r>
    <r>
      <rPr>
        <sz val="11"/>
        <color theme="1"/>
        <rFont val="Calibri"/>
        <family val="2"/>
        <charset val="186"/>
      </rPr>
      <t>²/kuus</t>
    </r>
  </si>
  <si>
    <t>Parkimiskohtade arv</t>
  </si>
  <si>
    <t>50-60</t>
  </si>
  <si>
    <t>Potentsiaalne kogutulu heas seisukorras korterid</t>
  </si>
  <si>
    <t>Potentsiaalne kogutulu keskmises seisukorras korterid</t>
  </si>
  <si>
    <t>Kokku</t>
  </si>
  <si>
    <t>Valitud väärtus</t>
  </si>
  <si>
    <t>Muud tulud, (parkimine)</t>
  </si>
  <si>
    <t>Efektiivne kogutulu</t>
  </si>
  <si>
    <t>Halvas seisukorras korterite renoveerimine</t>
  </si>
  <si>
    <t>Halvas seisukorras korteri renoveerimine</t>
  </si>
  <si>
    <t>Puhas tegevustulu</t>
  </si>
  <si>
    <t>1. aastal</t>
  </si>
  <si>
    <t>Inflatsioon</t>
  </si>
  <si>
    <t>Lõpetav väärtus</t>
  </si>
  <si>
    <t>Müügikulud, 2%</t>
  </si>
  <si>
    <t>Diskontomäär</t>
  </si>
  <si>
    <t>Diskonteerimistegur</t>
  </si>
  <si>
    <t>Diskonteeritud lõpetav väärtus</t>
  </si>
  <si>
    <t>Turuväärtus</t>
  </si>
  <si>
    <t>Ei arvestata halvas seisukorras korteritega</t>
  </si>
  <si>
    <t>Diskonteeritud rahavoogude meetod</t>
  </si>
  <si>
    <t>Lihtkapitaliseerimismeetod</t>
  </si>
  <si>
    <t>6. aastal</t>
  </si>
  <si>
    <t>Kapitalisatsioonimäär</t>
  </si>
  <si>
    <t>Hoone suletud netopinnale taandatuna</t>
  </si>
  <si>
    <t>Turg</t>
  </si>
  <si>
    <t>Lähteandmed</t>
  </si>
  <si>
    <t>Hoone andmed</t>
  </si>
  <si>
    <t>Parkimistulu</t>
  </si>
  <si>
    <t>Vastab turutasemele ja lepingut ei ole võimalik lõpetada ennetähtaegselt</t>
  </si>
  <si>
    <t>Ei vasta turutasemele, valime turutaseme 8%</t>
  </si>
  <si>
    <t>Vakantsus, 8%</t>
  </si>
  <si>
    <r>
      <t>0,7 €/SNPm</t>
    </r>
    <r>
      <rPr>
        <sz val="11"/>
        <color theme="1"/>
        <rFont val="Calibri"/>
        <family val="2"/>
        <charset val="186"/>
      </rPr>
      <t>²/kuus</t>
    </r>
  </si>
  <si>
    <r>
      <t>Ei vasta turutasemele, valime turutaseme 0,7 €/SNPm</t>
    </r>
    <r>
      <rPr>
        <sz val="11"/>
        <color theme="1"/>
        <rFont val="Calibri"/>
        <family val="2"/>
        <charset val="186"/>
      </rPr>
      <t>²/kuus</t>
    </r>
  </si>
  <si>
    <t>2. kuni 5. aasta</t>
  </si>
  <si>
    <t>Hoone renoveerimine</t>
  </si>
  <si>
    <t>Hinnatava vara turuväärtus on väärtuse kuupäeva seisuga lihtkapitaliseerimis meetodil 537 000 €. Leitud turuväärtus ei sisalda käibemaksu.</t>
  </si>
  <si>
    <r>
      <t>Turuväärtus hoone suletud netopinnale taandatuna on 336 €/m</t>
    </r>
    <r>
      <rPr>
        <sz val="11"/>
        <color theme="1"/>
        <rFont val="Calibri"/>
        <family val="2"/>
        <charset val="186"/>
      </rPr>
      <t>².</t>
    </r>
  </si>
  <si>
    <t>Renoveerimisjärgne väärtus 3. aastal</t>
  </si>
  <si>
    <t>Aasta</t>
  </si>
  <si>
    <t>Rahavoog</t>
  </si>
  <si>
    <t>Diskonteeritud rahavoog</t>
  </si>
  <si>
    <t>Hinnatava vara turuväärtus on väärtuse kuupäeva seisuga diskonteeritud rahavoogude meetodil 580 000 €. Hinnatud turuväärtus ei sisalda käibemaksu.</t>
  </si>
  <si>
    <r>
      <t>Turuväärtus hoone suletud netopinnale taandatuna on 363 €/m</t>
    </r>
    <r>
      <rPr>
        <sz val="11"/>
        <color theme="1"/>
        <rFont val="Calibri"/>
        <family val="2"/>
        <charset val="186"/>
      </rPr>
      <t>².</t>
    </r>
  </si>
  <si>
    <t>Vakantsed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</si>
</sst>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0.0%"/>
    <numFmt numFmtId="165" formatCode="0.000"/>
    <numFmt numFmtId="166" formatCode="0.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9" fontId="0" fillId="0" borderId="1" xfId="1" applyNumberFormat="1" applyFont="1" applyBorder="1"/>
    <xf numFmtId="10" fontId="0" fillId="0" borderId="1" xfId="0" applyNumberFormat="1" applyBorder="1"/>
    <xf numFmtId="166" fontId="0" fillId="0" borderId="1" xfId="0" applyNumberFormat="1" applyBorder="1"/>
    <xf numFmtId="0" fontId="0" fillId="0" borderId="1" xfId="1" applyNumberFormat="1" applyFont="1" applyBorder="1"/>
    <xf numFmtId="9" fontId="0" fillId="0" borderId="1" xfId="0" applyNumberFormat="1" applyBorder="1"/>
    <xf numFmtId="164" fontId="0" fillId="0" borderId="1" xfId="0" applyNumberFormat="1" applyBorder="1"/>
    <xf numFmtId="10" fontId="0" fillId="0" borderId="1" xfId="1" applyNumberFormat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1" xfId="0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/>
    <xf numFmtId="3" fontId="0" fillId="0" borderId="0" xfId="0" applyNumberFormat="1"/>
    <xf numFmtId="8" fontId="0" fillId="0" borderId="0" xfId="0" applyNumberFormat="1"/>
    <xf numFmtId="10" fontId="0" fillId="0" borderId="0" xfId="0" applyNumberFormat="1" applyBorder="1"/>
    <xf numFmtId="0" fontId="0" fillId="0" borderId="0" xfId="0" applyAlignment="1">
      <alignment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rtti Tomson" id="{0610AB95-9653-4497-95D8-A878E4C8B813}" userId="41041e14a0fd52b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3" dT="2019-10-18T16:56:51.68" personId="{0610AB95-9653-4497-95D8-A878E4C8B813}" id="{0517C2FC-80BD-4A75-9A62-C7F321247052}">
    <text>Hoone renoveerimise järgselt on omanikukulud poole võrra madalamad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B23" sqref="B23"/>
    </sheetView>
  </sheetViews>
  <sheetFormatPr defaultRowHeight="15" x14ac:dyDescent="0.25"/>
  <cols>
    <col min="1" max="1" width="50.5703125" bestFit="1" customWidth="1"/>
    <col min="2" max="2" width="19.28515625" bestFit="1" customWidth="1"/>
    <col min="3" max="3" width="24.5703125" bestFit="1" customWidth="1"/>
    <col min="4" max="4" width="40.140625" customWidth="1"/>
    <col min="5" max="5" width="14.42578125" bestFit="1" customWidth="1"/>
    <col min="6" max="6" width="40.7109375" bestFit="1" customWidth="1"/>
    <col min="8" max="8" width="20.42578125" bestFit="1" customWidth="1"/>
    <col min="9" max="9" width="50.5703125" bestFit="1" customWidth="1"/>
    <col min="10" max="10" width="14.140625" bestFit="1" customWidth="1"/>
    <col min="12" max="12" width="16.42578125" bestFit="1" customWidth="1"/>
    <col min="14" max="14" width="13.42578125" bestFit="1" customWidth="1"/>
    <col min="15" max="15" width="11.28515625" bestFit="1" customWidth="1"/>
    <col min="16" max="16" width="16.42578125" bestFit="1" customWidth="1"/>
    <col min="17" max="17" width="13.42578125" bestFit="1" customWidth="1"/>
    <col min="20" max="20" width="20.42578125" bestFit="1" customWidth="1"/>
  </cols>
  <sheetData>
    <row r="1" spans="1:11" x14ac:dyDescent="0.25">
      <c r="A1" s="20" t="s">
        <v>51</v>
      </c>
      <c r="B1" s="20"/>
      <c r="C1" s="19"/>
      <c r="D1" s="19"/>
      <c r="E1" s="19"/>
      <c r="I1" s="20" t="s">
        <v>47</v>
      </c>
      <c r="J1" s="20"/>
    </row>
    <row r="2" spans="1:11" x14ac:dyDescent="0.25">
      <c r="A2" s="1" t="s">
        <v>6</v>
      </c>
      <c r="B2" s="1">
        <v>1600</v>
      </c>
      <c r="C2" s="19"/>
      <c r="D2" s="19"/>
      <c r="E2" s="19"/>
      <c r="I2" s="1" t="s">
        <v>35</v>
      </c>
      <c r="J2" s="1" t="s">
        <v>46</v>
      </c>
    </row>
    <row r="3" spans="1:11" x14ac:dyDescent="0.25">
      <c r="A3" s="1" t="s">
        <v>0</v>
      </c>
      <c r="B3" s="1">
        <v>45</v>
      </c>
      <c r="C3" s="19"/>
      <c r="D3" s="19"/>
      <c r="E3" s="19"/>
      <c r="H3" s="20" t="s">
        <v>47</v>
      </c>
      <c r="I3" s="12">
        <v>0.1</v>
      </c>
      <c r="J3" s="14">
        <v>0.09</v>
      </c>
    </row>
    <row r="4" spans="1:11" x14ac:dyDescent="0.25">
      <c r="A4" s="1" t="s">
        <v>24</v>
      </c>
      <c r="B4" s="1">
        <v>15</v>
      </c>
      <c r="C4" s="19"/>
      <c r="D4" s="19"/>
      <c r="E4" s="19"/>
      <c r="I4" s="19"/>
      <c r="J4" s="25"/>
    </row>
    <row r="5" spans="1:11" x14ac:dyDescent="0.25">
      <c r="A5" s="1"/>
      <c r="B5" s="18"/>
      <c r="C5" s="19"/>
      <c r="D5" s="19"/>
      <c r="E5" s="19"/>
      <c r="H5" s="20" t="s">
        <v>8</v>
      </c>
      <c r="I5" s="20" t="s">
        <v>11</v>
      </c>
      <c r="J5" s="20" t="s">
        <v>12</v>
      </c>
      <c r="K5" s="20"/>
    </row>
    <row r="6" spans="1:11" x14ac:dyDescent="0.25">
      <c r="A6" s="20" t="s">
        <v>1</v>
      </c>
      <c r="B6" s="20" t="s">
        <v>0</v>
      </c>
      <c r="C6" s="20" t="s">
        <v>35</v>
      </c>
      <c r="D6" s="20" t="s">
        <v>58</v>
      </c>
      <c r="H6" s="1" t="s">
        <v>9</v>
      </c>
      <c r="I6" s="11">
        <v>0.5</v>
      </c>
      <c r="J6" s="11">
        <v>0.18</v>
      </c>
      <c r="K6" s="12">
        <f>I6*J6</f>
        <v>0.09</v>
      </c>
    </row>
    <row r="7" spans="1:11" x14ac:dyDescent="0.25">
      <c r="A7" s="21" t="s">
        <v>2</v>
      </c>
      <c r="B7" s="1">
        <v>20</v>
      </c>
      <c r="C7" s="1">
        <v>20</v>
      </c>
      <c r="D7" s="1">
        <v>30</v>
      </c>
      <c r="H7" s="1" t="s">
        <v>10</v>
      </c>
      <c r="I7" s="11">
        <v>0.5</v>
      </c>
      <c r="J7" s="13">
        <v>3.95E-2</v>
      </c>
      <c r="K7" s="12">
        <f>I7*J7</f>
        <v>1.975E-2</v>
      </c>
    </row>
    <row r="8" spans="1:11" x14ac:dyDescent="0.25">
      <c r="A8" s="21" t="s">
        <v>3</v>
      </c>
      <c r="B8" s="1">
        <v>15</v>
      </c>
      <c r="C8" s="1">
        <v>15</v>
      </c>
      <c r="D8" s="1">
        <v>15</v>
      </c>
      <c r="H8" s="1"/>
      <c r="I8" s="1"/>
      <c r="J8" s="1" t="s">
        <v>39</v>
      </c>
      <c r="K8" s="12">
        <f>SUM(K6:K7)</f>
        <v>0.10975</v>
      </c>
    </row>
    <row r="9" spans="1:11" x14ac:dyDescent="0.25">
      <c r="A9" s="21" t="s">
        <v>4</v>
      </c>
      <c r="B9" s="1">
        <v>10</v>
      </c>
      <c r="C9" s="1">
        <v>10</v>
      </c>
      <c r="D9" s="1">
        <v>0</v>
      </c>
    </row>
    <row r="10" spans="1:11" x14ac:dyDescent="0.25">
      <c r="A10" s="4" t="s">
        <v>28</v>
      </c>
      <c r="B10" s="1">
        <f>SUM(B7:B9)</f>
        <v>45</v>
      </c>
    </row>
    <row r="12" spans="1:11" x14ac:dyDescent="0.25">
      <c r="A12" s="20" t="s">
        <v>1</v>
      </c>
      <c r="B12" s="20" t="s">
        <v>5</v>
      </c>
      <c r="C12" s="20" t="s">
        <v>68</v>
      </c>
      <c r="D12" s="20" t="s">
        <v>17</v>
      </c>
    </row>
    <row r="13" spans="1:11" x14ac:dyDescent="0.25">
      <c r="A13" s="21" t="s">
        <v>2</v>
      </c>
      <c r="B13" s="1">
        <v>20</v>
      </c>
      <c r="C13" s="1">
        <v>0</v>
      </c>
      <c r="D13" s="1"/>
    </row>
    <row r="14" spans="1:11" x14ac:dyDescent="0.25">
      <c r="A14" s="21" t="s">
        <v>3</v>
      </c>
      <c r="B14" s="1">
        <v>10</v>
      </c>
      <c r="C14" s="1">
        <v>5</v>
      </c>
      <c r="D14" s="1"/>
    </row>
    <row r="15" spans="1:11" x14ac:dyDescent="0.25">
      <c r="A15" s="21" t="s">
        <v>4</v>
      </c>
      <c r="B15" s="1"/>
      <c r="C15" s="1"/>
      <c r="D15" s="22" t="s">
        <v>43</v>
      </c>
    </row>
    <row r="16" spans="1:11" x14ac:dyDescent="0.25">
      <c r="A16" s="4" t="s">
        <v>28</v>
      </c>
      <c r="B16" s="1">
        <f>SUM(B13:B15)</f>
        <v>30</v>
      </c>
      <c r="C16" s="1">
        <f>SUM(C13:C15)</f>
        <v>5</v>
      </c>
    </row>
    <row r="18" spans="1:6" x14ac:dyDescent="0.25">
      <c r="A18" s="30" t="s">
        <v>50</v>
      </c>
      <c r="B18" s="31"/>
      <c r="C18" s="31"/>
      <c r="D18" s="31"/>
      <c r="E18" s="31"/>
      <c r="F18" s="31"/>
    </row>
    <row r="19" spans="1:6" x14ac:dyDescent="0.25">
      <c r="A19" s="1" t="s">
        <v>14</v>
      </c>
      <c r="B19" s="1" t="s">
        <v>7</v>
      </c>
      <c r="C19" s="1" t="s">
        <v>49</v>
      </c>
      <c r="D19" s="5" t="s">
        <v>17</v>
      </c>
      <c r="E19" s="1" t="s">
        <v>29</v>
      </c>
      <c r="F19" s="1" t="s">
        <v>62</v>
      </c>
    </row>
    <row r="20" spans="1:6" x14ac:dyDescent="0.25">
      <c r="A20" s="21" t="s">
        <v>2</v>
      </c>
      <c r="B20" s="1">
        <v>150</v>
      </c>
      <c r="C20" s="1" t="s">
        <v>15</v>
      </c>
      <c r="D20" s="5" t="s">
        <v>18</v>
      </c>
      <c r="E20" s="1">
        <v>150</v>
      </c>
      <c r="F20" s="1"/>
    </row>
    <row r="21" spans="1:6" x14ac:dyDescent="0.25">
      <c r="A21" s="21" t="s">
        <v>3</v>
      </c>
      <c r="B21" s="1">
        <v>100</v>
      </c>
      <c r="C21" s="1" t="s">
        <v>16</v>
      </c>
      <c r="D21" s="5" t="s">
        <v>18</v>
      </c>
      <c r="E21" s="1">
        <v>100</v>
      </c>
      <c r="F21" s="1"/>
    </row>
    <row r="22" spans="1:6" x14ac:dyDescent="0.25">
      <c r="A22" s="21" t="s">
        <v>4</v>
      </c>
      <c r="B22" s="1">
        <v>0</v>
      </c>
      <c r="C22" s="1">
        <f>B15*B22</f>
        <v>0</v>
      </c>
      <c r="D22" s="5" t="s">
        <v>18</v>
      </c>
      <c r="E22" s="1">
        <v>0</v>
      </c>
      <c r="F22" s="1"/>
    </row>
    <row r="23" spans="1:6" ht="30" x14ac:dyDescent="0.25">
      <c r="A23" s="1" t="s">
        <v>19</v>
      </c>
      <c r="B23" s="7">
        <f>C16/SUM(B16:C16)</f>
        <v>0.14285714285714285</v>
      </c>
      <c r="C23" s="11">
        <v>0.08</v>
      </c>
      <c r="D23" s="5" t="s">
        <v>54</v>
      </c>
      <c r="E23" s="8">
        <v>0.08</v>
      </c>
      <c r="F23" s="1"/>
    </row>
    <row r="24" spans="1:6" ht="30" x14ac:dyDescent="0.25">
      <c r="A24" s="1" t="s">
        <v>20</v>
      </c>
      <c r="B24" s="6">
        <f>25000/B2/12</f>
        <v>1.3020833333333333</v>
      </c>
      <c r="C24" s="1" t="s">
        <v>56</v>
      </c>
      <c r="D24" s="5" t="s">
        <v>57</v>
      </c>
      <c r="E24" s="1">
        <v>0.7</v>
      </c>
      <c r="F24" s="6">
        <f>-D43/12/B2</f>
        <v>0.36414000000000002</v>
      </c>
    </row>
    <row r="25" spans="1:6" ht="30" x14ac:dyDescent="0.25">
      <c r="A25" s="1" t="s">
        <v>21</v>
      </c>
      <c r="B25" s="1">
        <v>0</v>
      </c>
      <c r="C25" s="1" t="s">
        <v>22</v>
      </c>
      <c r="D25" s="5" t="s">
        <v>23</v>
      </c>
      <c r="E25" s="1">
        <v>0.35</v>
      </c>
      <c r="F25" s="6">
        <f>-D44/B2/12</f>
        <v>0.18206999999999998</v>
      </c>
    </row>
    <row r="26" spans="1:6" ht="30" x14ac:dyDescent="0.25">
      <c r="A26" s="1" t="s">
        <v>52</v>
      </c>
      <c r="B26" s="9">
        <f>10000/B4/12</f>
        <v>55.55555555555555</v>
      </c>
      <c r="C26" s="1" t="s">
        <v>25</v>
      </c>
      <c r="D26" s="5" t="s">
        <v>53</v>
      </c>
      <c r="E26" s="9">
        <f>B26</f>
        <v>55.55555555555555</v>
      </c>
      <c r="F26" s="1"/>
    </row>
    <row r="27" spans="1:6" x14ac:dyDescent="0.25">
      <c r="A27" s="1" t="s">
        <v>33</v>
      </c>
      <c r="B27" s="2">
        <v>5000</v>
      </c>
      <c r="C27" s="2">
        <v>5000</v>
      </c>
      <c r="D27" s="5" t="s">
        <v>18</v>
      </c>
      <c r="E27" s="2">
        <v>5000</v>
      </c>
      <c r="F27" s="1"/>
    </row>
    <row r="28" spans="1:6" x14ac:dyDescent="0.25">
      <c r="A28" s="1" t="s">
        <v>59</v>
      </c>
      <c r="B28" s="2">
        <v>75000</v>
      </c>
      <c r="C28" s="2">
        <v>75000</v>
      </c>
      <c r="D28" s="5" t="s">
        <v>18</v>
      </c>
      <c r="E28" s="2">
        <v>75000</v>
      </c>
      <c r="F28" s="1"/>
    </row>
    <row r="30" spans="1:6" x14ac:dyDescent="0.25">
      <c r="A30" s="20" t="s">
        <v>13</v>
      </c>
      <c r="B30" s="20">
        <v>1</v>
      </c>
      <c r="C30" s="20">
        <v>2</v>
      </c>
      <c r="D30" s="20">
        <v>3</v>
      </c>
      <c r="E30" s="20">
        <v>4</v>
      </c>
      <c r="F30" s="20">
        <v>5</v>
      </c>
    </row>
    <row r="31" spans="1:6" x14ac:dyDescent="0.25">
      <c r="A31" s="1" t="s">
        <v>36</v>
      </c>
      <c r="B31" s="8">
        <v>0.02</v>
      </c>
      <c r="C31" s="8">
        <v>0.02</v>
      </c>
      <c r="D31" s="8">
        <v>0.02</v>
      </c>
      <c r="E31" s="8">
        <v>0.02</v>
      </c>
      <c r="F31" s="8">
        <v>0.02</v>
      </c>
    </row>
    <row r="32" spans="1:6" x14ac:dyDescent="0.25">
      <c r="A32" s="1"/>
      <c r="B32" s="10">
        <f>B31+1</f>
        <v>1.02</v>
      </c>
      <c r="C32" s="10">
        <f t="shared" ref="C32:F32" si="0">C31+1</f>
        <v>1.02</v>
      </c>
      <c r="D32" s="10">
        <f t="shared" si="0"/>
        <v>1.02</v>
      </c>
      <c r="E32" s="10">
        <f t="shared" si="0"/>
        <v>1.02</v>
      </c>
      <c r="F32" s="10">
        <f t="shared" si="0"/>
        <v>1.02</v>
      </c>
    </row>
    <row r="34" spans="1:13" x14ac:dyDescent="0.25">
      <c r="A34" s="27" t="s">
        <v>44</v>
      </c>
      <c r="B34" s="28"/>
      <c r="C34" s="28"/>
      <c r="D34" s="28"/>
      <c r="E34" s="28"/>
      <c r="F34" s="28"/>
      <c r="G34" s="29"/>
      <c r="I34" s="27" t="s">
        <v>45</v>
      </c>
      <c r="J34" s="29"/>
    </row>
    <row r="35" spans="1:13" ht="15" customHeight="1" x14ac:dyDescent="0.25">
      <c r="A35" s="20" t="s">
        <v>63</v>
      </c>
      <c r="B35" s="20">
        <v>2020</v>
      </c>
      <c r="C35" s="20">
        <v>2021</v>
      </c>
      <c r="D35" s="20">
        <v>2022</v>
      </c>
      <c r="E35" s="20">
        <v>2023</v>
      </c>
      <c r="F35" s="20">
        <v>2024</v>
      </c>
      <c r="G35" s="20">
        <v>2025</v>
      </c>
      <c r="I35" s="1" t="s">
        <v>26</v>
      </c>
      <c r="J35" s="2">
        <f>D7*E20*12</f>
        <v>54000</v>
      </c>
      <c r="L35" s="26"/>
      <c r="M35" s="26"/>
    </row>
    <row r="36" spans="1:13" x14ac:dyDescent="0.25">
      <c r="A36" s="20" t="s">
        <v>13</v>
      </c>
      <c r="B36" s="20">
        <v>1</v>
      </c>
      <c r="C36" s="20">
        <v>2</v>
      </c>
      <c r="D36" s="20">
        <v>3</v>
      </c>
      <c r="E36" s="20">
        <v>4</v>
      </c>
      <c r="F36" s="20">
        <v>5</v>
      </c>
      <c r="G36" s="20">
        <v>6</v>
      </c>
      <c r="I36" s="1" t="s">
        <v>27</v>
      </c>
      <c r="J36" s="2">
        <f>C8*E21*12</f>
        <v>18000</v>
      </c>
      <c r="L36" s="26"/>
      <c r="M36" s="26"/>
    </row>
    <row r="37" spans="1:13" x14ac:dyDescent="0.25">
      <c r="A37" s="1" t="s">
        <v>26</v>
      </c>
      <c r="B37" s="2">
        <f>E20*C7*12</f>
        <v>36000</v>
      </c>
      <c r="C37" s="2">
        <f>$E$20*B32*D7*12</f>
        <v>55080</v>
      </c>
      <c r="D37" s="2">
        <f>C37*C32</f>
        <v>56181.599999999999</v>
      </c>
      <c r="E37" s="2">
        <f>D37*D32</f>
        <v>57305.231999999996</v>
      </c>
      <c r="F37" s="2">
        <f>E37*E32</f>
        <v>58451.336639999994</v>
      </c>
      <c r="G37" s="2">
        <f>F37*F32</f>
        <v>59620.363372799999</v>
      </c>
      <c r="I37" s="1" t="s">
        <v>28</v>
      </c>
      <c r="J37" s="2">
        <f>SUM(J35:J36)</f>
        <v>72000</v>
      </c>
      <c r="L37" s="26"/>
      <c r="M37" s="26"/>
    </row>
    <row r="38" spans="1:13" x14ac:dyDescent="0.25">
      <c r="A38" s="1" t="s">
        <v>27</v>
      </c>
      <c r="B38" s="2">
        <f>B8*E21*12</f>
        <v>18000</v>
      </c>
      <c r="C38" s="2">
        <f>B38*B32</f>
        <v>18360</v>
      </c>
      <c r="D38" s="2">
        <f>C38*C32</f>
        <v>18727.2</v>
      </c>
      <c r="E38" s="2">
        <f>D38*D32</f>
        <v>19101.744000000002</v>
      </c>
      <c r="F38" s="2">
        <f>E38*E32</f>
        <v>19483.778880000002</v>
      </c>
      <c r="G38" s="2">
        <f>F38*F32</f>
        <v>19873.454457600001</v>
      </c>
      <c r="I38" s="1" t="s">
        <v>55</v>
      </c>
      <c r="J38" s="2">
        <f>J37*-E23</f>
        <v>-5760</v>
      </c>
      <c r="L38" s="26"/>
      <c r="M38" s="26"/>
    </row>
    <row r="39" spans="1:13" x14ac:dyDescent="0.25">
      <c r="A39" s="1" t="s">
        <v>28</v>
      </c>
      <c r="B39" s="2">
        <f t="shared" ref="B39:G39" si="1">B37+B38</f>
        <v>54000</v>
      </c>
      <c r="C39" s="2">
        <f t="shared" si="1"/>
        <v>73440</v>
      </c>
      <c r="D39" s="2">
        <f t="shared" si="1"/>
        <v>74908.800000000003</v>
      </c>
      <c r="E39" s="2">
        <f t="shared" si="1"/>
        <v>76406.975999999995</v>
      </c>
      <c r="F39" s="2">
        <f t="shared" si="1"/>
        <v>77935.115519999992</v>
      </c>
      <c r="G39" s="2">
        <f t="shared" si="1"/>
        <v>79493.817830400003</v>
      </c>
      <c r="I39" s="1" t="s">
        <v>30</v>
      </c>
      <c r="J39" s="2">
        <v>10000</v>
      </c>
      <c r="L39" s="26"/>
      <c r="M39" s="26"/>
    </row>
    <row r="40" spans="1:13" x14ac:dyDescent="0.25">
      <c r="A40" s="1" t="s">
        <v>55</v>
      </c>
      <c r="B40" s="2">
        <f>B39*-$E$23</f>
        <v>-4320</v>
      </c>
      <c r="C40" s="2">
        <f t="shared" ref="C40:G40" si="2">C39*-$E$23</f>
        <v>-5875.2</v>
      </c>
      <c r="D40" s="2">
        <f t="shared" si="2"/>
        <v>-5992.7040000000006</v>
      </c>
      <c r="E40" s="2">
        <f t="shared" si="2"/>
        <v>-6112.5580799999998</v>
      </c>
      <c r="F40" s="2">
        <f t="shared" si="2"/>
        <v>-6234.8092416</v>
      </c>
      <c r="G40" s="2">
        <f t="shared" si="2"/>
        <v>-6359.5054264320006</v>
      </c>
      <c r="I40" s="1" t="s">
        <v>31</v>
      </c>
      <c r="J40" s="2">
        <f>SUM(J37:J39)</f>
        <v>76240</v>
      </c>
    </row>
    <row r="41" spans="1:13" x14ac:dyDescent="0.25">
      <c r="A41" s="1" t="s">
        <v>30</v>
      </c>
      <c r="B41" s="2">
        <v>10000</v>
      </c>
      <c r="C41" s="2">
        <v>10000</v>
      </c>
      <c r="D41" s="2">
        <v>10000</v>
      </c>
      <c r="E41" s="2">
        <v>10000</v>
      </c>
      <c r="F41" s="2">
        <v>10000</v>
      </c>
      <c r="G41" s="2">
        <v>10000</v>
      </c>
      <c r="I41" s="1" t="s">
        <v>20</v>
      </c>
      <c r="J41" s="2">
        <f>-E24*B2*12*0.5</f>
        <v>-6720</v>
      </c>
    </row>
    <row r="42" spans="1:13" x14ac:dyDescent="0.25">
      <c r="A42" s="1" t="s">
        <v>31</v>
      </c>
      <c r="B42" s="2">
        <f t="shared" ref="B42:G42" si="3">SUM(B39:B41)</f>
        <v>59680</v>
      </c>
      <c r="C42" s="2">
        <f t="shared" si="3"/>
        <v>77564.800000000003</v>
      </c>
      <c r="D42" s="2">
        <f t="shared" si="3"/>
        <v>78916.096000000005</v>
      </c>
      <c r="E42" s="2">
        <f t="shared" si="3"/>
        <v>80294.417919999993</v>
      </c>
      <c r="F42" s="2">
        <f t="shared" si="3"/>
        <v>81700.306278399992</v>
      </c>
      <c r="G42" s="2">
        <f t="shared" si="3"/>
        <v>83134.312403967997</v>
      </c>
      <c r="I42" s="1" t="s">
        <v>21</v>
      </c>
      <c r="J42" s="2">
        <f>-B2*E25*12*0.5</f>
        <v>-3360</v>
      </c>
    </row>
    <row r="43" spans="1:13" x14ac:dyDescent="0.25">
      <c r="A43" s="1" t="s">
        <v>20</v>
      </c>
      <c r="B43" s="2">
        <f>-B2*E24*12</f>
        <v>-13440</v>
      </c>
      <c r="C43" s="2">
        <f>B43*B32</f>
        <v>-13708.800000000001</v>
      </c>
      <c r="D43" s="2">
        <f>C43*C32*0.5</f>
        <v>-6991.4880000000003</v>
      </c>
      <c r="E43" s="2">
        <f>D43*D32</f>
        <v>-7131.3177600000008</v>
      </c>
      <c r="F43" s="2">
        <f>E43*E32</f>
        <v>-7273.9441152000009</v>
      </c>
      <c r="G43" s="2">
        <f>F43*F32</f>
        <v>-7419.4229975040007</v>
      </c>
      <c r="I43" s="1" t="s">
        <v>34</v>
      </c>
      <c r="J43" s="2">
        <f>SUM(J40:J42)</f>
        <v>66160</v>
      </c>
    </row>
    <row r="44" spans="1:13" x14ac:dyDescent="0.25">
      <c r="A44" s="1" t="s">
        <v>21</v>
      </c>
      <c r="B44" s="2">
        <f>-B2*E25*12</f>
        <v>-6720</v>
      </c>
      <c r="C44" s="2">
        <f>B44*B32</f>
        <v>-6854.4000000000005</v>
      </c>
      <c r="D44" s="2">
        <f>C44*C32*0.5</f>
        <v>-3495.7440000000001</v>
      </c>
      <c r="E44" s="2">
        <f>D44*D32</f>
        <v>-3565.6588800000004</v>
      </c>
      <c r="F44" s="2">
        <f>E44*E32</f>
        <v>-3636.9720576000004</v>
      </c>
      <c r="G44" s="2">
        <f>F44*F32</f>
        <v>-3709.7114987520004</v>
      </c>
      <c r="I44" s="4" t="s">
        <v>32</v>
      </c>
      <c r="J44" s="2">
        <f>-E27*B9</f>
        <v>-50000</v>
      </c>
    </row>
    <row r="45" spans="1:13" x14ac:dyDescent="0.25">
      <c r="A45" s="1" t="s">
        <v>34</v>
      </c>
      <c r="B45" s="2">
        <f>SUM(B42:B44)</f>
        <v>39520</v>
      </c>
      <c r="C45" s="2">
        <f t="shared" ref="C45:G45" si="4">SUM(C42:C44)</f>
        <v>57001.599999999999</v>
      </c>
      <c r="D45" s="2">
        <f t="shared" si="4"/>
        <v>68428.864000000001</v>
      </c>
      <c r="E45" s="2">
        <f t="shared" si="4"/>
        <v>69597.441279999985</v>
      </c>
      <c r="F45" s="2">
        <f t="shared" si="4"/>
        <v>70789.390105599989</v>
      </c>
      <c r="G45" s="2">
        <f t="shared" si="4"/>
        <v>72005.177907711986</v>
      </c>
      <c r="I45" s="4" t="s">
        <v>59</v>
      </c>
      <c r="J45" s="2">
        <f>-E28</f>
        <v>-75000</v>
      </c>
    </row>
    <row r="46" spans="1:13" x14ac:dyDescent="0.25">
      <c r="A46" s="1" t="s">
        <v>32</v>
      </c>
      <c r="B46" s="2">
        <v>-50000</v>
      </c>
      <c r="C46" s="2"/>
      <c r="D46" s="2"/>
      <c r="E46" s="2"/>
      <c r="F46" s="2"/>
      <c r="G46" s="2"/>
      <c r="I46" s="4" t="s">
        <v>42</v>
      </c>
      <c r="J46" s="2">
        <f>ROUND((J43/I3)+J44+J45,-3)</f>
        <v>537000</v>
      </c>
      <c r="K46" s="2">
        <f>J43/I3+J44+J45</f>
        <v>536600</v>
      </c>
    </row>
    <row r="47" spans="1:13" x14ac:dyDescent="0.25">
      <c r="A47" s="1" t="s">
        <v>59</v>
      </c>
      <c r="B47" s="2"/>
      <c r="C47" s="2">
        <f>-E28</f>
        <v>-75000</v>
      </c>
      <c r="D47" s="2"/>
      <c r="E47" s="2"/>
      <c r="F47" s="2"/>
      <c r="G47" s="2"/>
      <c r="I47" s="4" t="s">
        <v>48</v>
      </c>
      <c r="J47" s="16">
        <f>J46/B2</f>
        <v>335.625</v>
      </c>
    </row>
    <row r="48" spans="1:13" x14ac:dyDescent="0.25">
      <c r="A48" s="1" t="s">
        <v>64</v>
      </c>
      <c r="B48" s="2">
        <f>SUM(B45:B47)</f>
        <v>-10480</v>
      </c>
      <c r="C48" s="2">
        <f t="shared" ref="C48:G48" si="5">SUM(C45:C47)</f>
        <v>-17998.400000000001</v>
      </c>
      <c r="D48" s="2">
        <f t="shared" si="5"/>
        <v>68428.864000000001</v>
      </c>
      <c r="E48" s="2">
        <f t="shared" si="5"/>
        <v>69597.441279999985</v>
      </c>
      <c r="F48" s="2">
        <f t="shared" si="5"/>
        <v>70789.390105599989</v>
      </c>
      <c r="G48" s="2">
        <f t="shared" si="5"/>
        <v>72005.177907711986</v>
      </c>
    </row>
    <row r="49" spans="1:9" x14ac:dyDescent="0.25">
      <c r="A49" s="1" t="s">
        <v>37</v>
      </c>
      <c r="B49" s="2"/>
      <c r="C49" s="2"/>
      <c r="D49" s="2"/>
      <c r="E49" s="2"/>
      <c r="F49" s="2">
        <f>G48/J3</f>
        <v>800057.53230791097</v>
      </c>
      <c r="G49" s="2"/>
      <c r="I49" t="s">
        <v>60</v>
      </c>
    </row>
    <row r="50" spans="1:9" x14ac:dyDescent="0.25">
      <c r="A50" s="1" t="s">
        <v>38</v>
      </c>
      <c r="B50" s="2"/>
      <c r="C50" s="2"/>
      <c r="D50" s="2"/>
      <c r="E50" s="2"/>
      <c r="F50" s="2">
        <f>-F49*2%</f>
        <v>-16001.150646158219</v>
      </c>
      <c r="G50" s="2"/>
      <c r="I50" t="s">
        <v>61</v>
      </c>
    </row>
    <row r="51" spans="1:9" x14ac:dyDescent="0.25">
      <c r="A51" s="1" t="s">
        <v>41</v>
      </c>
      <c r="B51" s="2"/>
      <c r="C51" s="2"/>
      <c r="D51" s="2"/>
      <c r="E51" s="2"/>
      <c r="F51" s="2">
        <f>(F49+F50)*F56</f>
        <v>465823.64089978056</v>
      </c>
      <c r="G51" s="2"/>
    </row>
    <row r="52" spans="1:9" x14ac:dyDescent="0.25">
      <c r="A52" s="1" t="s">
        <v>65</v>
      </c>
      <c r="B52" s="2">
        <f>B48*B56</f>
        <v>-9443.5683712547871</v>
      </c>
      <c r="C52" s="2">
        <f>C48*C56</f>
        <v>-14614.487563665582</v>
      </c>
      <c r="D52" s="2">
        <f>D48*D56</f>
        <v>50068.417982365041</v>
      </c>
      <c r="E52" s="2">
        <f>E48*E56</f>
        <v>45887.316252832134</v>
      </c>
      <c r="F52" s="2">
        <f>F48*F56+F51</f>
        <v>507881.03907588683</v>
      </c>
      <c r="G52" s="2"/>
    </row>
    <row r="53" spans="1:9" x14ac:dyDescent="0.25">
      <c r="A53" s="1" t="s">
        <v>42</v>
      </c>
      <c r="B53" s="2">
        <f>ROUND(SUM(B52:F52),-3)</f>
        <v>580000</v>
      </c>
      <c r="C53" s="2"/>
      <c r="D53" s="2"/>
      <c r="E53" s="2"/>
      <c r="F53" s="2"/>
      <c r="G53" s="2"/>
    </row>
    <row r="54" spans="1:9" x14ac:dyDescent="0.25">
      <c r="A54" s="4" t="s">
        <v>48</v>
      </c>
      <c r="B54" s="16">
        <f>B53/B2</f>
        <v>362.5</v>
      </c>
      <c r="C54" s="23"/>
    </row>
    <row r="55" spans="1:9" x14ac:dyDescent="0.25">
      <c r="A55" s="3"/>
      <c r="B55" s="17"/>
    </row>
    <row r="56" spans="1:9" x14ac:dyDescent="0.25">
      <c r="A56" s="1" t="s">
        <v>40</v>
      </c>
      <c r="B56" s="15">
        <f>1/(1+$K$8)</f>
        <v>0.90110385221896827</v>
      </c>
      <c r="C56" s="15">
        <f>B56/(1+$K$8)</f>
        <v>0.81198815248386413</v>
      </c>
      <c r="D56" s="15">
        <f>C56/(1+$K$8)</f>
        <v>0.73168565215937298</v>
      </c>
      <c r="E56" s="15">
        <f>D56/(1+$K$8)</f>
        <v>0.65932475977415905</v>
      </c>
      <c r="F56" s="15">
        <f>E56/(1+$K$8)</f>
        <v>0.59412008089584056</v>
      </c>
    </row>
    <row r="58" spans="1:9" x14ac:dyDescent="0.25">
      <c r="A58" t="s">
        <v>66</v>
      </c>
    </row>
    <row r="59" spans="1:9" x14ac:dyDescent="0.25">
      <c r="A59" t="s">
        <v>67</v>
      </c>
    </row>
    <row r="60" spans="1:9" x14ac:dyDescent="0.25">
      <c r="A60" s="24"/>
      <c r="F60" s="23"/>
    </row>
  </sheetData>
  <mergeCells count="3">
    <mergeCell ref="A34:G34"/>
    <mergeCell ref="I34:J34"/>
    <mergeCell ref="A18:F1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Hartti Tomson</dc:creator>
  <cp:lastModifiedBy>Ene Kolbre</cp:lastModifiedBy>
  <dcterms:created xsi:type="dcterms:W3CDTF">2019-10-03T16:29:07Z</dcterms:created>
  <dcterms:modified xsi:type="dcterms:W3CDTF">2019-10-27T18:20:39Z</dcterms:modified>
</cp:coreProperties>
</file>