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E:\Google Drive\Kutseeksam\Vara hindaja\"/>
    </mc:Choice>
  </mc:AlternateContent>
  <xr:revisionPtr revIDLastSave="0" documentId="13_ncr:1_{491DFE36-2749-4295-B00E-6CEBF857F30C}" xr6:coauthVersionLast="41" xr6:coauthVersionMax="41" xr10:uidLastSave="{00000000-0000-0000-0000-000000000000}"/>
  <bookViews>
    <workbookView xWindow="-120" yWindow="-120" windowWidth="38640" windowHeight="21240" xr2:uid="{00000000-000D-0000-FFFF-FFFF00000000}"/>
  </bookViews>
  <sheets>
    <sheet name="tulumeetod " sheetId="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8" i="4" l="1"/>
  <c r="W26" i="4"/>
  <c r="W27" i="4"/>
  <c r="W25" i="4"/>
  <c r="V27" i="4"/>
  <c r="C15" i="4" l="1"/>
  <c r="C70" i="4"/>
  <c r="C66" i="4"/>
  <c r="C65" i="4"/>
  <c r="C64" i="4"/>
  <c r="D35" i="4"/>
  <c r="E35" i="4" s="1"/>
  <c r="F35" i="4" s="1"/>
  <c r="G35" i="4" s="1"/>
  <c r="H35" i="4" s="1"/>
  <c r="I35" i="4" s="1"/>
  <c r="D34" i="4"/>
  <c r="E34" i="4" s="1"/>
  <c r="F34" i="4" s="1"/>
  <c r="G34" i="4" s="1"/>
  <c r="H34" i="4" s="1"/>
  <c r="I34" i="4" s="1"/>
  <c r="C56" i="4"/>
  <c r="C58" i="4" s="1"/>
  <c r="C57" i="4"/>
  <c r="C74" i="4"/>
  <c r="E26" i="4"/>
  <c r="F26" i="4" s="1"/>
  <c r="G26" i="4" s="1"/>
  <c r="H26" i="4" s="1"/>
  <c r="I26" i="4" s="1"/>
  <c r="D26" i="4"/>
  <c r="D28" i="4" s="1"/>
  <c r="D40" i="4"/>
  <c r="E40" i="4"/>
  <c r="F40" i="4"/>
  <c r="G40" i="4"/>
  <c r="H40" i="4" s="1"/>
  <c r="I40" i="4" s="1"/>
  <c r="M9" i="4"/>
  <c r="D32" i="4" s="1"/>
  <c r="E32" i="4" s="1"/>
  <c r="F32" i="4" s="1"/>
  <c r="G32" i="4" s="1"/>
  <c r="H32" i="4" s="1"/>
  <c r="I32" i="4" s="1"/>
  <c r="C62" i="4"/>
  <c r="E24" i="4"/>
  <c r="F24" i="4"/>
  <c r="G24" i="4"/>
  <c r="H24" i="4"/>
  <c r="I24" i="4" s="1"/>
  <c r="D27" i="4"/>
  <c r="K13" i="4"/>
  <c r="K12" i="4" s="1"/>
  <c r="K8" i="4"/>
  <c r="E7" i="4"/>
  <c r="E13" i="4" s="1"/>
  <c r="M7" i="4"/>
  <c r="N7" i="4" s="1"/>
  <c r="E9" i="4"/>
  <c r="E8" i="4"/>
  <c r="M8" i="4"/>
  <c r="C60" i="4" s="1"/>
  <c r="C12" i="4"/>
  <c r="C72" i="4"/>
  <c r="C47" i="4"/>
  <c r="D47" i="4"/>
  <c r="E47" i="4"/>
  <c r="F47" i="4" s="1"/>
  <c r="G47" i="4" s="1"/>
  <c r="H47" i="4" s="1"/>
  <c r="C43" i="4"/>
  <c r="P14" i="4"/>
  <c r="C44" i="4"/>
  <c r="G7" i="4"/>
  <c r="G12" i="4"/>
  <c r="E27" i="4"/>
  <c r="F27" i="4" s="1"/>
  <c r="D30" i="4"/>
  <c r="E30" i="4"/>
  <c r="F30" i="4" s="1"/>
  <c r="G30" i="4" s="1"/>
  <c r="H30" i="4" s="1"/>
  <c r="I30" i="4" s="1"/>
  <c r="N8" i="4"/>
  <c r="D37" i="4" l="1"/>
  <c r="D33" i="4"/>
  <c r="D38" i="4" s="1"/>
  <c r="D42" i="4" s="1"/>
  <c r="D46" i="4" s="1"/>
  <c r="C67" i="4"/>
  <c r="C63" i="4"/>
  <c r="C68" i="4" s="1"/>
  <c r="C71" i="4" s="1"/>
  <c r="C73" i="4" s="1"/>
  <c r="C75" i="4" s="1"/>
  <c r="F28" i="4"/>
  <c r="G27" i="4"/>
  <c r="E28" i="4"/>
  <c r="M10" i="4"/>
  <c r="N10" i="4" s="1"/>
  <c r="D76" i="4" l="1"/>
  <c r="C76" i="4"/>
  <c r="E33" i="4"/>
  <c r="E37" i="4"/>
  <c r="H27" i="4"/>
  <c r="G28" i="4"/>
  <c r="D48" i="4"/>
  <c r="F33" i="4"/>
  <c r="F37" i="4"/>
  <c r="E38" i="4" l="1"/>
  <c r="E42" i="4" s="1"/>
  <c r="E46" i="4" s="1"/>
  <c r="G37" i="4"/>
  <c r="G33" i="4"/>
  <c r="G38" i="4" s="1"/>
  <c r="G42" i="4" s="1"/>
  <c r="G46" i="4" s="1"/>
  <c r="G48" i="4" s="1"/>
  <c r="F38" i="4"/>
  <c r="F42" i="4" s="1"/>
  <c r="F46" i="4" s="1"/>
  <c r="F48" i="4" s="1"/>
  <c r="I27" i="4"/>
  <c r="I28" i="4" s="1"/>
  <c r="H28" i="4"/>
  <c r="H33" i="4" l="1"/>
  <c r="H37" i="4"/>
  <c r="I33" i="4"/>
  <c r="I37" i="4"/>
  <c r="E48" i="4"/>
  <c r="I38" i="4" l="1"/>
  <c r="I42" i="4" s="1"/>
  <c r="H43" i="4" s="1"/>
  <c r="H38" i="4"/>
  <c r="H42" i="4" s="1"/>
  <c r="H44" i="4" l="1"/>
  <c r="H45" i="4" s="1"/>
  <c r="H46" i="4" s="1"/>
  <c r="H48" i="4" l="1"/>
  <c r="C49" i="4"/>
  <c r="C50" i="4" s="1"/>
  <c r="D5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Hartti Tomson</author>
    <author>tc={A546204B-45AC-4C98-8454-F126A88432D2}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Hiljuti võõrandati sama piirkonnas hinnatava varaga sarnases seisukorras hoone, mille kap. määr oli 8,5%</t>
        </r>
      </text>
    </comment>
    <comment ref="M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Vakantse üüripinna puhul on lähtutud turu väiksemate üüripindade madalamast üürimäärast 7 €/m2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Vanemate renoveeritud hoonete vakantsus on turul 5%, kuid pikaajalise üürilepinguga pindadel, mille vastaspooleks on tugev kaubanduskett või apteek arvestatakse turul 0% vakantsiga</t>
        </r>
      </text>
    </comment>
    <comment ref="K12" authorId="1" shapeId="0" xr:uid="{A546204B-45AC-4C98-8454-F126A88432D2}">
      <text>
        <t>[Threaded comment]
Your version of Excel allows you to read this threaded comment; however, any edits to it will get removed if the file is opened in a newer version of Excel. Learn more: https://go.microsoft.com/fwlink/?linkid=870924
Comment:
    Võõrkapitali osakaal on 50%. Omakapitali osakaal on 50%, mis jaguneb võrdselt juhtinvestori ja ühisrahastus investorite vahel. Diskontomäär on ümardatud ühe komakohani</t>
      </text>
    </comment>
    <comment ref="M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Varad on koormatud pikaajalise üürilepinguga
</t>
        </r>
      </text>
    </comment>
    <comment ref="M1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Vanemate hoonete keskmine vakants turul</t>
        </r>
      </text>
    </comment>
    <comment ref="I1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Prognoositav pikaajaline inflatsioon on 2%</t>
        </r>
      </text>
    </comment>
    <comment ref="M19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Hoone tegeliku tegevuskulud on madalamad kui turul keskmiselt seega lähtume turu vahemiku madalamast väärtusest</t>
        </r>
      </text>
    </comment>
    <comment ref="M20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Tegevuskulude kasvavad turul samas tempos inflatsiooniga</t>
        </r>
      </text>
    </comment>
    <comment ref="B3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86"/>
          </rPr>
          <t>Hartti Tomson:</t>
        </r>
        <r>
          <rPr>
            <sz val="9"/>
            <color indexed="81"/>
            <rFont val="Tahoma"/>
            <family val="2"/>
            <charset val="186"/>
          </rPr>
          <t xml:space="preserve">
Väiksemate kaubanduspindade üüri indekseeritakse turul tavapäraselt inflatsiooniga</t>
        </r>
      </text>
    </comment>
    <comment ref="D36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Hartti Tomson:</t>
        </r>
        <r>
          <rPr>
            <sz val="9"/>
            <color indexed="81"/>
            <rFont val="Tahoma"/>
            <charset val="1"/>
          </rPr>
          <t xml:space="preserve">
Väärtuse kuupäeva seisuga on vakantsus 20%. Prognoositav vakantsus esimesel aastal on 10%</t>
        </r>
      </text>
    </comment>
    <comment ref="C56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Hartti Tomson:</t>
        </r>
        <r>
          <rPr>
            <sz val="9"/>
            <color indexed="81"/>
            <rFont val="Tahoma"/>
            <charset val="1"/>
          </rPr>
          <t xml:space="preserve">
Stabiliseeritud tulu arvestamisel jätame kõrval siseviimistluse uuendamisega seonduva ühekorde negatiivse mõju ankur üürniku üüritulu muutuvale osale</t>
        </r>
      </text>
    </comment>
    <comment ref="C66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Hartti Tomson:</t>
        </r>
        <r>
          <rPr>
            <sz val="9"/>
            <color indexed="81"/>
            <rFont val="Tahoma"/>
            <charset val="1"/>
          </rPr>
          <t xml:space="preserve">
Stabiliseeritud vakants on turul 5%</t>
        </r>
      </text>
    </comment>
  </commentList>
</comments>
</file>

<file path=xl/sharedStrings.xml><?xml version="1.0" encoding="utf-8"?>
<sst xmlns="http://schemas.openxmlformats.org/spreadsheetml/2006/main" count="136" uniqueCount="92">
  <si>
    <t>Aasta</t>
  </si>
  <si>
    <t>Vakantsus</t>
  </si>
  <si>
    <t>Müügikulu</t>
  </si>
  <si>
    <t>Tulud:</t>
  </si>
  <si>
    <t>Diskonteerimine:</t>
  </si>
  <si>
    <t>Diskontokordaja</t>
  </si>
  <si>
    <t>Tulumäärad</t>
  </si>
  <si>
    <t>kap. määr hetkel</t>
  </si>
  <si>
    <t>diskontomäär</t>
  </si>
  <si>
    <t>Turuväärtus, eur</t>
  </si>
  <si>
    <t>eur/SNPm2</t>
  </si>
  <si>
    <t>Rahavoog, eur</t>
  </si>
  <si>
    <t>TEGELIK</t>
  </si>
  <si>
    <t>TURU KESKMINE</t>
  </si>
  <si>
    <t>Efektiivne kogutulu (EGI), eur</t>
  </si>
  <si>
    <t>Tegevuskulud, eur</t>
  </si>
  <si>
    <t>Puhas tegevustulu (NOI), eur</t>
  </si>
  <si>
    <t>Diskonteeritud rahavood, eur</t>
  </si>
  <si>
    <t>Potentsiaalne kogutulu (PGI), eur</t>
  </si>
  <si>
    <t>Müügihind, eur</t>
  </si>
  <si>
    <t>Müügitulu, eur</t>
  </si>
  <si>
    <t>€/m2/kuus</t>
  </si>
  <si>
    <t>TULU</t>
  </si>
  <si>
    <t>HOONE</t>
  </si>
  <si>
    <t>KULU</t>
  </si>
  <si>
    <t>maamaks</t>
  </si>
  <si>
    <t>kindlustus</t>
  </si>
  <si>
    <t>Aastane kogukulu, €</t>
  </si>
  <si>
    <t>Hoone SNP, m2</t>
  </si>
  <si>
    <t>Kulud</t>
  </si>
  <si>
    <t>Tegevuskulu</t>
  </si>
  <si>
    <t>Tulumäärad:</t>
  </si>
  <si>
    <t>HINDAMISEL KASUTAME</t>
  </si>
  <si>
    <t>€/kuus</t>
  </si>
  <si>
    <t>Tulud-kulud</t>
  </si>
  <si>
    <t>Vakantsus,eur</t>
  </si>
  <si>
    <t>kap. määr 5.a. Pärast</t>
  </si>
  <si>
    <t>Üürileantav pind, m2</t>
  </si>
  <si>
    <t>Tegevuskulu kasv</t>
  </si>
  <si>
    <t>Tegevuskulude kasv, %</t>
  </si>
  <si>
    <t>Ankur 1</t>
  </si>
  <si>
    <t>Üüri kasv</t>
  </si>
  <si>
    <t>Potentsiaalne üür kokku</t>
  </si>
  <si>
    <t>Üürihind keskmiselt, €/m2</t>
  </si>
  <si>
    <t>Ankur 2</t>
  </si>
  <si>
    <t>Kapitaliseerimine:</t>
  </si>
  <si>
    <t>Kap. määr</t>
  </si>
  <si>
    <t>Ankur</t>
  </si>
  <si>
    <t>Üürnik 2 (apteek)</t>
  </si>
  <si>
    <t>Apteek</t>
  </si>
  <si>
    <r>
      <t>Suuremad kui 1000 m</t>
    </r>
    <r>
      <rPr>
        <sz val="10"/>
        <rFont val="Calibri"/>
        <family val="2"/>
        <charset val="186"/>
      </rPr>
      <t>² kaubanduspinand</t>
    </r>
  </si>
  <si>
    <t>12-20</t>
  </si>
  <si>
    <t>20-25</t>
  </si>
  <si>
    <r>
      <t>Väiksemad kui 1000 m</t>
    </r>
    <r>
      <rPr>
        <sz val="10"/>
        <rFont val="Calibri"/>
        <family val="2"/>
        <charset val="186"/>
      </rPr>
      <t>²</t>
    </r>
    <r>
      <rPr>
        <sz val="8.5"/>
        <rFont val="Arial"/>
        <family val="2"/>
        <charset val="186"/>
      </rPr>
      <t xml:space="preserve"> kaubanduspinnad</t>
    </r>
  </si>
  <si>
    <t>7-10</t>
  </si>
  <si>
    <t>kap. määr praegu</t>
  </si>
  <si>
    <t>diskontomäär WACC meetodi</t>
  </si>
  <si>
    <t>Omakapital</t>
  </si>
  <si>
    <t>Võõrkapital</t>
  </si>
  <si>
    <t>0,4 kuni 0,6</t>
  </si>
  <si>
    <t>Ülejäänud üüritav pind</t>
  </si>
  <si>
    <t>3. aasta perspektiivis prognoositakse 0,25% langust</t>
  </si>
  <si>
    <t>Ankur üüritulu muutumatu osa</t>
  </si>
  <si>
    <t>Ankur üüritulu muutuva osa kasv, %</t>
  </si>
  <si>
    <t>Apteek üüritulu kasv, %</t>
  </si>
  <si>
    <t>Väiksemad üüripinnad</t>
  </si>
  <si>
    <t>Väiksemate üüripindade üüritulu kasv, %</t>
  </si>
  <si>
    <t>Väiksemate üüripindade üüritulu, €</t>
  </si>
  <si>
    <t>Apteegi üüritulu, €</t>
  </si>
  <si>
    <t>Üüritulu muutuv osa, €</t>
  </si>
  <si>
    <t>Ankur üüritulu, €</t>
  </si>
  <si>
    <t>Vakantsus väiksemad üüripinnad, %</t>
  </si>
  <si>
    <t>Vakantsus apteek, %</t>
  </si>
  <si>
    <t>Vakantsus ankur, %</t>
  </si>
  <si>
    <t>Kasv</t>
  </si>
  <si>
    <t>Hoone siseviimistluse uuendamine, eur</t>
  </si>
  <si>
    <t>Turuväärtus ilma investeeringuta</t>
  </si>
  <si>
    <t>Hoone siseviimistluse uuendamine, €</t>
  </si>
  <si>
    <r>
      <t>€/SNPm</t>
    </r>
    <r>
      <rPr>
        <sz val="8"/>
        <rFont val="Calibri"/>
        <family val="2"/>
        <charset val="186"/>
      </rPr>
      <t>²</t>
    </r>
  </si>
  <si>
    <t>Ümardatud turuväärtus, eur</t>
  </si>
  <si>
    <t>Ümardatud turuväärtus, €</t>
  </si>
  <si>
    <t>Turuväärtus investeeringut arvestades, €</t>
  </si>
  <si>
    <t>Hinnatava vara turuväärtuus on diskonteeritud rahavoogude meetodil väärtuse kuupäeva 01.10.2019 seisuga 5 940 000 €. Hoone suletud netopinnale taandatuna 1 747 €/m². Leitud turuväärtus ei sisalda käibemaksu.</t>
  </si>
  <si>
    <t>Hinnatava vara turuväärtuus on kapitaliseeritud puhastulu meetodil väärtuse kuupäeva 01.10.2019 seisuga 5 960 000 €. Hoone suletud netopinnale taandatuna 1 752 €/m². Leitud turuväärtus ei sisalda käibemaksu.</t>
  </si>
  <si>
    <t>kap. määr 5 aasta pärast</t>
  </si>
  <si>
    <t>valitud turu tase</t>
  </si>
  <si>
    <t>valitud WACC meetodil leitud turu tase</t>
  </si>
  <si>
    <t>WACC</t>
  </si>
  <si>
    <t>Osakaal</t>
  </si>
  <si>
    <t>Juhtinvestor</t>
  </si>
  <si>
    <t>Ühisrahastus</t>
  </si>
  <si>
    <t>Kapitalihind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</si>
</sst>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%"/>
    <numFmt numFmtId="168" formatCode="#,##0.0000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u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</font>
    <font>
      <sz val="10"/>
      <name val="Calibri"/>
      <family val="2"/>
      <charset val="186"/>
    </font>
    <font>
      <sz val="8.5"/>
      <name val="Arial"/>
      <family val="2"/>
      <charset val="186"/>
    </font>
    <font>
      <sz val="11"/>
      <name val="Arial"/>
      <family val="2"/>
      <charset val="186"/>
    </font>
    <font>
      <sz val="8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Arial"/>
      <family val="2"/>
      <charset val="186"/>
    </font>
    <font>
      <sz val="12"/>
      <color rgb="FFDD0806"/>
      <name val="Arial"/>
      <family val="2"/>
      <charset val="186"/>
    </font>
    <font>
      <sz val="10"/>
      <color rgb="FFFF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wrapText="1"/>
    </xf>
    <xf numFmtId="167" fontId="19" fillId="0" borderId="0" xfId="0" applyNumberFormat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0" fontId="20" fillId="0" borderId="0" xfId="0" applyFont="1"/>
    <xf numFmtId="0" fontId="5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0" xfId="0" applyFont="1"/>
    <xf numFmtId="0" fontId="7" fillId="3" borderId="4" xfId="1" applyFont="1" applyFill="1" applyBorder="1"/>
    <xf numFmtId="167" fontId="0" fillId="2" borderId="4" xfId="0" applyNumberFormat="1" applyFont="1" applyFill="1" applyBorder="1"/>
    <xf numFmtId="0" fontId="7" fillId="3" borderId="5" xfId="1" applyFont="1" applyFill="1" applyBorder="1" applyAlignment="1">
      <alignment horizontal="right"/>
    </xf>
    <xf numFmtId="0" fontId="0" fillId="2" borderId="4" xfId="0" applyFont="1" applyFill="1" applyBorder="1"/>
    <xf numFmtId="3" fontId="7" fillId="2" borderId="4" xfId="1" applyNumberFormat="1" applyFont="1" applyFill="1" applyBorder="1"/>
    <xf numFmtId="0" fontId="0" fillId="3" borderId="5" xfId="1" applyFont="1" applyFill="1" applyBorder="1" applyAlignment="1">
      <alignment horizontal="right"/>
    </xf>
    <xf numFmtId="9" fontId="0" fillId="2" borderId="4" xfId="0" applyNumberFormat="1" applyFont="1" applyFill="1" applyBorder="1"/>
    <xf numFmtId="0" fontId="5" fillId="3" borderId="5" xfId="1" applyFont="1" applyFill="1" applyBorder="1" applyAlignment="1">
      <alignment horizontal="right"/>
    </xf>
    <xf numFmtId="3" fontId="0" fillId="2" borderId="4" xfId="1" applyNumberFormat="1" applyFont="1" applyFill="1" applyBorder="1"/>
    <xf numFmtId="3" fontId="5" fillId="2" borderId="4" xfId="1" applyNumberFormat="1" applyFont="1" applyFill="1" applyBorder="1"/>
    <xf numFmtId="0" fontId="0" fillId="3" borderId="5" xfId="0" applyFont="1" applyFill="1" applyBorder="1" applyAlignment="1">
      <alignment horizontal="right"/>
    </xf>
    <xf numFmtId="168" fontId="0" fillId="2" borderId="4" xfId="0" applyNumberFormat="1" applyFont="1" applyFill="1" applyBorder="1"/>
    <xf numFmtId="3" fontId="0" fillId="2" borderId="4" xfId="0" applyNumberFormat="1" applyFont="1" applyFill="1" applyBorder="1"/>
    <xf numFmtId="168" fontId="0" fillId="2" borderId="6" xfId="0" applyNumberFormat="1" applyFont="1" applyFill="1" applyBorder="1"/>
    <xf numFmtId="0" fontId="5" fillId="3" borderId="5" xfId="0" applyFont="1" applyFill="1" applyBorder="1" applyAlignment="1">
      <alignment horizontal="right"/>
    </xf>
    <xf numFmtId="3" fontId="5" fillId="2" borderId="4" xfId="0" applyNumberFormat="1" applyFont="1" applyFill="1" applyBorder="1"/>
    <xf numFmtId="3" fontId="5" fillId="2" borderId="4" xfId="1" applyNumberFormat="1" applyFont="1" applyFill="1" applyBorder="1" applyAlignment="1">
      <alignment horizontal="right"/>
    </xf>
    <xf numFmtId="3" fontId="8" fillId="2" borderId="6" xfId="1" applyNumberFormat="1" applyFont="1" applyFill="1" applyBorder="1"/>
    <xf numFmtId="0" fontId="5" fillId="3" borderId="7" xfId="0" applyFont="1" applyFill="1" applyBorder="1" applyAlignment="1">
      <alignment horizontal="right"/>
    </xf>
    <xf numFmtId="3" fontId="0" fillId="2" borderId="8" xfId="0" applyNumberFormat="1" applyFont="1" applyFill="1" applyBorder="1" applyAlignment="1">
      <alignment horizontal="right"/>
    </xf>
    <xf numFmtId="0" fontId="0" fillId="2" borderId="8" xfId="0" applyFont="1" applyFill="1" applyBorder="1"/>
    <xf numFmtId="166" fontId="0" fillId="2" borderId="8" xfId="0" applyNumberFormat="1" applyFont="1" applyFill="1" applyBorder="1" applyAlignment="1">
      <alignment horizontal="left"/>
    </xf>
    <xf numFmtId="0" fontId="0" fillId="2" borderId="9" xfId="0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5" fillId="4" borderId="2" xfId="0" applyFont="1" applyFill="1" applyBorder="1" applyAlignment="1">
      <alignment wrapText="1"/>
    </xf>
    <xf numFmtId="165" fontId="0" fillId="2" borderId="4" xfId="0" applyNumberFormat="1" applyFont="1" applyFill="1" applyBorder="1"/>
    <xf numFmtId="9" fontId="8" fillId="2" borderId="4" xfId="2" applyFont="1" applyFill="1" applyBorder="1"/>
    <xf numFmtId="3" fontId="8" fillId="2" borderId="4" xfId="2" applyNumberFormat="1" applyFont="1" applyFill="1" applyBorder="1"/>
    <xf numFmtId="3" fontId="8" fillId="2" borderId="4" xfId="1" applyNumberFormat="1" applyFont="1" applyFill="1" applyBorder="1"/>
    <xf numFmtId="167" fontId="8" fillId="2" borderId="4" xfId="2" applyNumberFormat="1" applyFont="1" applyFill="1" applyBorder="1"/>
    <xf numFmtId="0" fontId="9" fillId="3" borderId="5" xfId="1" applyFont="1" applyFill="1" applyBorder="1" applyAlignment="1">
      <alignment horizontal="right"/>
    </xf>
    <xf numFmtId="167" fontId="9" fillId="2" borderId="4" xfId="0" applyNumberFormat="1" applyFont="1" applyFill="1" applyBorder="1"/>
    <xf numFmtId="0" fontId="8" fillId="3" borderId="5" xfId="1" applyFont="1" applyFill="1" applyBorder="1" applyAlignment="1">
      <alignment horizontal="right"/>
    </xf>
    <xf numFmtId="0" fontId="3" fillId="3" borderId="5" xfId="1" applyFont="1" applyFill="1" applyBorder="1" applyAlignment="1">
      <alignment horizontal="right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3" fontId="0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right"/>
    </xf>
    <xf numFmtId="3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4" fontId="0" fillId="5" borderId="4" xfId="0" applyNumberFormat="1" applyFont="1" applyFill="1" applyBorder="1" applyAlignment="1">
      <alignment horizontal="center"/>
    </xf>
    <xf numFmtId="2" fontId="0" fillId="5" borderId="4" xfId="0" applyNumberFormat="1" applyFont="1" applyFill="1" applyBorder="1" applyAlignment="1">
      <alignment horizontal="center"/>
    </xf>
    <xf numFmtId="9" fontId="12" fillId="5" borderId="4" xfId="2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wrapText="1"/>
    </xf>
    <xf numFmtId="4" fontId="3" fillId="5" borderId="4" xfId="2" applyNumberFormat="1" applyFont="1" applyFill="1" applyBorder="1" applyAlignment="1">
      <alignment horizontal="center"/>
    </xf>
    <xf numFmtId="9" fontId="12" fillId="6" borderId="4" xfId="2" applyFont="1" applyFill="1" applyBorder="1" applyAlignment="1">
      <alignment horizontal="center"/>
    </xf>
    <xf numFmtId="167" fontId="3" fillId="5" borderId="4" xfId="2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right"/>
    </xf>
    <xf numFmtId="166" fontId="9" fillId="5" borderId="4" xfId="0" applyNumberFormat="1" applyFont="1" applyFill="1" applyBorder="1" applyAlignment="1">
      <alignment horizontal="center" wrapText="1"/>
    </xf>
    <xf numFmtId="10" fontId="3" fillId="5" borderId="4" xfId="2" applyNumberFormat="1" applyFont="1" applyFill="1" applyBorder="1" applyAlignment="1">
      <alignment horizontal="center"/>
    </xf>
    <xf numFmtId="166" fontId="0" fillId="5" borderId="4" xfId="0" applyNumberFormat="1" applyFont="1" applyFill="1" applyBorder="1" applyAlignment="1">
      <alignment horizontal="center" wrapText="1"/>
    </xf>
    <xf numFmtId="1" fontId="21" fillId="5" borderId="4" xfId="0" applyNumberFormat="1" applyFont="1" applyFill="1" applyBorder="1" applyAlignment="1">
      <alignment horizontal="center"/>
    </xf>
    <xf numFmtId="1" fontId="21" fillId="5" borderId="4" xfId="0" applyNumberFormat="1" applyFont="1" applyFill="1" applyBorder="1" applyAlignment="1">
      <alignment horizontal="center" wrapText="1"/>
    </xf>
    <xf numFmtId="3" fontId="21" fillId="5" borderId="4" xfId="0" applyNumberFormat="1" applyFont="1" applyFill="1" applyBorder="1" applyAlignment="1">
      <alignment horizontal="center"/>
    </xf>
    <xf numFmtId="0" fontId="5" fillId="5" borderId="10" xfId="0" applyFont="1" applyFill="1" applyBorder="1"/>
    <xf numFmtId="0" fontId="0" fillId="5" borderId="11" xfId="0" applyFont="1" applyFill="1" applyBorder="1"/>
    <xf numFmtId="0" fontId="5" fillId="5" borderId="11" xfId="0" applyFont="1" applyFill="1" applyBorder="1"/>
    <xf numFmtId="0" fontId="0" fillId="5" borderId="5" xfId="0" applyFont="1" applyFill="1" applyBorder="1"/>
    <xf numFmtId="0" fontId="9" fillId="5" borderId="5" xfId="0" applyFont="1" applyFill="1" applyBorder="1"/>
    <xf numFmtId="0" fontId="3" fillId="5" borderId="5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0" fontId="0" fillId="5" borderId="5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right"/>
    </xf>
    <xf numFmtId="0" fontId="21" fillId="5" borderId="7" xfId="0" applyFont="1" applyFill="1" applyBorder="1" applyAlignment="1">
      <alignment horizontal="right"/>
    </xf>
    <xf numFmtId="9" fontId="21" fillId="5" borderId="12" xfId="2" applyFont="1" applyFill="1" applyBorder="1" applyAlignment="1">
      <alignment horizontal="center"/>
    </xf>
    <xf numFmtId="10" fontId="21" fillId="5" borderId="12" xfId="2" applyNumberFormat="1" applyFont="1" applyFill="1" applyBorder="1" applyAlignment="1">
      <alignment horizontal="center"/>
    </xf>
    <xf numFmtId="0" fontId="2" fillId="5" borderId="13" xfId="0" applyFont="1" applyFill="1" applyBorder="1"/>
    <xf numFmtId="3" fontId="9" fillId="5" borderId="13" xfId="0" applyNumberFormat="1" applyFont="1" applyFill="1" applyBorder="1" applyAlignment="1">
      <alignment horizontal="center"/>
    </xf>
    <xf numFmtId="3" fontId="0" fillId="5" borderId="13" xfId="0" applyNumberFormat="1" applyFont="1" applyFill="1" applyBorder="1" applyAlignment="1">
      <alignment horizontal="center"/>
    </xf>
    <xf numFmtId="2" fontId="0" fillId="5" borderId="13" xfId="0" applyNumberFormat="1" applyFont="1" applyFill="1" applyBorder="1" applyAlignment="1">
      <alignment horizontal="center"/>
    </xf>
    <xf numFmtId="4" fontId="0" fillId="5" borderId="13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6" fillId="4" borderId="4" xfId="0" applyFont="1" applyFill="1" applyBorder="1" applyAlignment="1">
      <alignment wrapText="1"/>
    </xf>
    <xf numFmtId="0" fontId="0" fillId="4" borderId="4" xfId="0" applyFont="1" applyFill="1" applyBorder="1"/>
    <xf numFmtId="167" fontId="0" fillId="4" borderId="4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0" fontId="0" fillId="4" borderId="4" xfId="0" applyFont="1" applyFill="1" applyBorder="1" applyAlignment="1">
      <alignment wrapText="1"/>
    </xf>
    <xf numFmtId="167" fontId="3" fillId="4" borderId="4" xfId="2" applyNumberFormat="1" applyFont="1" applyFill="1" applyBorder="1" applyAlignment="1">
      <alignment horizontal="left"/>
    </xf>
    <xf numFmtId="167" fontId="9" fillId="4" borderId="4" xfId="2" applyNumberFormat="1" applyFont="1" applyFill="1" applyBorder="1" applyAlignment="1">
      <alignment horizontal="left"/>
    </xf>
    <xf numFmtId="0" fontId="2" fillId="4" borderId="4" xfId="0" applyFont="1" applyFill="1" applyBorder="1"/>
    <xf numFmtId="0" fontId="5" fillId="6" borderId="4" xfId="0" applyFont="1" applyFill="1" applyBorder="1" applyAlignment="1">
      <alignment wrapText="1"/>
    </xf>
    <xf numFmtId="0" fontId="0" fillId="6" borderId="4" xfId="0" applyFont="1" applyFill="1" applyBorder="1"/>
    <xf numFmtId="0" fontId="6" fillId="6" borderId="4" xfId="0" applyFont="1" applyFill="1" applyBorder="1" applyAlignment="1">
      <alignment wrapText="1"/>
    </xf>
    <xf numFmtId="0" fontId="0" fillId="6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wrapText="1"/>
    </xf>
    <xf numFmtId="3" fontId="0" fillId="6" borderId="4" xfId="0" applyNumberFormat="1" applyFont="1" applyFill="1" applyBorder="1" applyAlignment="1">
      <alignment horizontal="left"/>
    </xf>
    <xf numFmtId="4" fontId="0" fillId="6" borderId="4" xfId="0" applyNumberFormat="1" applyFont="1" applyFill="1" applyBorder="1" applyAlignment="1">
      <alignment horizontal="center"/>
    </xf>
    <xf numFmtId="0" fontId="0" fillId="6" borderId="4" xfId="0" applyFont="1" applyFill="1" applyBorder="1" applyAlignment="1">
      <alignment wrapText="1"/>
    </xf>
    <xf numFmtId="3" fontId="3" fillId="6" borderId="4" xfId="2" applyNumberFormat="1" applyFont="1" applyFill="1" applyBorder="1" applyAlignment="1">
      <alignment horizontal="left"/>
    </xf>
    <xf numFmtId="2" fontId="0" fillId="6" borderId="4" xfId="0" applyNumberFormat="1" applyFont="1" applyFill="1" applyBorder="1" applyAlignment="1">
      <alignment horizontal="center"/>
    </xf>
    <xf numFmtId="4" fontId="3" fillId="6" borderId="4" xfId="2" applyNumberFormat="1" applyFont="1" applyFill="1" applyBorder="1" applyAlignment="1">
      <alignment horizontal="left"/>
    </xf>
    <xf numFmtId="167" fontId="3" fillId="6" borderId="4" xfId="2" applyNumberFormat="1" applyFont="1" applyFill="1" applyBorder="1" applyAlignment="1">
      <alignment horizontal="left"/>
    </xf>
    <xf numFmtId="9" fontId="3" fillId="6" borderId="4" xfId="2" applyNumberFormat="1" applyFont="1" applyFill="1" applyBorder="1" applyAlignment="1">
      <alignment horizontal="left"/>
    </xf>
    <xf numFmtId="9" fontId="0" fillId="6" borderId="4" xfId="0" applyNumberFormat="1" applyFont="1" applyFill="1" applyBorder="1" applyAlignment="1">
      <alignment horizontal="left"/>
    </xf>
    <xf numFmtId="165" fontId="9" fillId="6" borderId="4" xfId="0" applyNumberFormat="1" applyFont="1" applyFill="1" applyBorder="1" applyAlignment="1">
      <alignment horizontal="left"/>
    </xf>
    <xf numFmtId="0" fontId="0" fillId="5" borderId="15" xfId="0" applyFont="1" applyFill="1" applyBorder="1"/>
    <xf numFmtId="0" fontId="5" fillId="4" borderId="1" xfId="0" applyFont="1" applyFill="1" applyBorder="1" applyAlignment="1">
      <alignment wrapText="1"/>
    </xf>
    <xf numFmtId="0" fontId="0" fillId="4" borderId="3" xfId="0" applyFont="1" applyFill="1" applyBorder="1"/>
    <xf numFmtId="0" fontId="6" fillId="4" borderId="5" xfId="0" applyFont="1" applyFill="1" applyBorder="1" applyAlignment="1">
      <alignment wrapText="1"/>
    </xf>
    <xf numFmtId="167" fontId="0" fillId="4" borderId="16" xfId="0" applyNumberFormat="1" applyFont="1" applyFill="1" applyBorder="1" applyAlignment="1">
      <alignment horizontal="left"/>
    </xf>
    <xf numFmtId="0" fontId="3" fillId="4" borderId="5" xfId="0" applyFont="1" applyFill="1" applyBorder="1" applyAlignment="1">
      <alignment wrapText="1"/>
    </xf>
    <xf numFmtId="167" fontId="3" fillId="4" borderId="16" xfId="0" applyNumberFormat="1" applyFont="1" applyFill="1" applyBorder="1" applyAlignment="1">
      <alignment horizontal="left"/>
    </xf>
    <xf numFmtId="0" fontId="0" fillId="4" borderId="5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2" fillId="4" borderId="5" xfId="0" applyFont="1" applyFill="1" applyBorder="1"/>
    <xf numFmtId="167" fontId="9" fillId="4" borderId="16" xfId="0" applyNumberFormat="1" applyFont="1" applyFill="1" applyBorder="1" applyAlignment="1">
      <alignment horizontal="left"/>
    </xf>
    <xf numFmtId="9" fontId="0" fillId="4" borderId="16" xfId="0" applyNumberFormat="1" applyFont="1" applyFill="1" applyBorder="1" applyAlignment="1">
      <alignment horizontal="left"/>
    </xf>
    <xf numFmtId="0" fontId="0" fillId="7" borderId="5" xfId="0" applyFill="1" applyBorder="1" applyAlignment="1">
      <alignment wrapText="1"/>
    </xf>
    <xf numFmtId="0" fontId="0" fillId="4" borderId="16" xfId="0" applyFont="1" applyFill="1" applyBorder="1" applyAlignment="1">
      <alignment horizontal="left"/>
    </xf>
    <xf numFmtId="0" fontId="0" fillId="4" borderId="7" xfId="0" applyFont="1" applyFill="1" applyBorder="1" applyAlignment="1">
      <alignment wrapText="1"/>
    </xf>
    <xf numFmtId="9" fontId="0" fillId="4" borderId="12" xfId="0" applyNumberFormat="1" applyFont="1" applyFill="1" applyBorder="1" applyAlignment="1">
      <alignment horizontal="left"/>
    </xf>
    <xf numFmtId="0" fontId="0" fillId="4" borderId="12" xfId="0" applyFont="1" applyFill="1" applyBorder="1" applyAlignment="1">
      <alignment wrapText="1"/>
    </xf>
    <xf numFmtId="0" fontId="0" fillId="4" borderId="17" xfId="0" applyFont="1" applyFill="1" applyBorder="1" applyAlignment="1">
      <alignment horizontal="left"/>
    </xf>
    <xf numFmtId="0" fontId="5" fillId="6" borderId="5" xfId="0" applyFont="1" applyFill="1" applyBorder="1" applyAlignment="1">
      <alignment wrapText="1"/>
    </xf>
    <xf numFmtId="0" fontId="0" fillId="6" borderId="16" xfId="0" applyFont="1" applyFill="1" applyBorder="1"/>
    <xf numFmtId="0" fontId="6" fillId="6" borderId="5" xfId="0" applyFont="1" applyFill="1" applyBorder="1" applyAlignment="1">
      <alignment wrapText="1"/>
    </xf>
    <xf numFmtId="167" fontId="0" fillId="6" borderId="16" xfId="0" applyNumberFormat="1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3" fillId="6" borderId="5" xfId="0" applyFont="1" applyFill="1" applyBorder="1" applyAlignment="1">
      <alignment horizontal="right"/>
    </xf>
    <xf numFmtId="0" fontId="0" fillId="6" borderId="5" xfId="0" applyFont="1" applyFill="1" applyBorder="1" applyAlignment="1">
      <alignment wrapText="1"/>
    </xf>
    <xf numFmtId="0" fontId="0" fillId="6" borderId="16" xfId="0" applyFont="1" applyFill="1" applyBorder="1" applyAlignment="1">
      <alignment horizontal="left"/>
    </xf>
    <xf numFmtId="9" fontId="0" fillId="6" borderId="12" xfId="0" applyNumberFormat="1" applyFont="1" applyFill="1" applyBorder="1" applyAlignment="1">
      <alignment horizontal="left"/>
    </xf>
    <xf numFmtId="0" fontId="0" fillId="6" borderId="12" xfId="0" applyFont="1" applyFill="1" applyBorder="1" applyAlignment="1">
      <alignment wrapText="1"/>
    </xf>
    <xf numFmtId="0" fontId="0" fillId="6" borderId="17" xfId="0" applyFont="1" applyFill="1" applyBorder="1" applyAlignment="1">
      <alignment horizontal="left"/>
    </xf>
    <xf numFmtId="10" fontId="9" fillId="6" borderId="16" xfId="0" applyNumberFormat="1" applyFont="1" applyFill="1" applyBorder="1" applyAlignment="1">
      <alignment horizontal="left"/>
    </xf>
    <xf numFmtId="10" fontId="0" fillId="6" borderId="16" xfId="0" applyNumberFormat="1" applyFont="1" applyFill="1" applyBorder="1" applyAlignment="1">
      <alignment horizontal="left"/>
    </xf>
    <xf numFmtId="167" fontId="9" fillId="6" borderId="16" xfId="0" applyNumberFormat="1" applyFont="1" applyFill="1" applyBorder="1" applyAlignment="1">
      <alignment horizontal="left"/>
    </xf>
    <xf numFmtId="10" fontId="0" fillId="0" borderId="4" xfId="0" applyNumberFormat="1" applyFont="1" applyFill="1" applyBorder="1"/>
    <xf numFmtId="167" fontId="0" fillId="0" borderId="4" xfId="0" applyNumberFormat="1" applyFont="1" applyFill="1" applyBorder="1"/>
    <xf numFmtId="9" fontId="0" fillId="0" borderId="4" xfId="0" applyNumberFormat="1" applyFont="1" applyFill="1" applyBorder="1"/>
    <xf numFmtId="9" fontId="5" fillId="0" borderId="4" xfId="0" applyNumberFormat="1" applyFont="1" applyFill="1" applyBorder="1"/>
    <xf numFmtId="166" fontId="0" fillId="5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3" fontId="8" fillId="0" borderId="4" xfId="1" applyNumberFormat="1" applyFont="1" applyFill="1" applyBorder="1"/>
    <xf numFmtId="9" fontId="8" fillId="0" borderId="4" xfId="2" applyFont="1" applyFill="1" applyBorder="1"/>
    <xf numFmtId="0" fontId="3" fillId="0" borderId="0" xfId="0" applyFont="1" applyFill="1" applyBorder="1"/>
    <xf numFmtId="3" fontId="3" fillId="0" borderId="0" xfId="3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Font="1" applyBorder="1"/>
    <xf numFmtId="0" fontId="3" fillId="4" borderId="4" xfId="0" applyFont="1" applyFill="1" applyBorder="1" applyAlignment="1">
      <alignment wrapText="1"/>
    </xf>
    <xf numFmtId="10" fontId="3" fillId="4" borderId="16" xfId="0" applyNumberFormat="1" applyFont="1" applyFill="1" applyBorder="1" applyAlignment="1">
      <alignment horizontal="left"/>
    </xf>
    <xf numFmtId="10" fontId="9" fillId="4" borderId="16" xfId="0" applyNumberFormat="1" applyFont="1" applyFill="1" applyBorder="1" applyAlignment="1">
      <alignment horizontal="left"/>
    </xf>
    <xf numFmtId="0" fontId="5" fillId="3" borderId="16" xfId="1" applyFont="1" applyFill="1" applyBorder="1"/>
    <xf numFmtId="167" fontId="3" fillId="2" borderId="16" xfId="2" applyNumberFormat="1" applyFont="1" applyFill="1" applyBorder="1"/>
    <xf numFmtId="3" fontId="3" fillId="2" borderId="16" xfId="1" applyNumberFormat="1" applyFont="1" applyFill="1" applyBorder="1"/>
    <xf numFmtId="167" fontId="3" fillId="2" borderId="16" xfId="0" applyNumberFormat="1" applyFont="1" applyFill="1" applyBorder="1"/>
    <xf numFmtId="3" fontId="5" fillId="2" borderId="16" xfId="1" applyNumberFormat="1" applyFont="1" applyFill="1" applyBorder="1"/>
    <xf numFmtId="9" fontId="3" fillId="2" borderId="16" xfId="2" applyFont="1" applyFill="1" applyBorder="1"/>
    <xf numFmtId="9" fontId="3" fillId="2" borderId="16" xfId="0" applyNumberFormat="1" applyFont="1" applyFill="1" applyBorder="1"/>
    <xf numFmtId="3" fontId="8" fillId="2" borderId="16" xfId="1" applyNumberFormat="1" applyFont="1" applyFill="1" applyBorder="1"/>
    <xf numFmtId="9" fontId="8" fillId="2" borderId="16" xfId="2" applyFont="1" applyFill="1" applyBorder="1"/>
    <xf numFmtId="9" fontId="0" fillId="2" borderId="4" xfId="2" applyFont="1" applyFill="1" applyBorder="1"/>
    <xf numFmtId="0" fontId="21" fillId="5" borderId="18" xfId="0" applyFont="1" applyFill="1" applyBorder="1" applyAlignment="1">
      <alignment horizontal="right"/>
    </xf>
    <xf numFmtId="3" fontId="21" fillId="5" borderId="19" xfId="0" applyNumberFormat="1" applyFont="1" applyFill="1" applyBorder="1" applyAlignment="1">
      <alignment horizontal="center"/>
    </xf>
    <xf numFmtId="0" fontId="2" fillId="5" borderId="20" xfId="0" applyFont="1" applyFill="1" applyBorder="1"/>
    <xf numFmtId="0" fontId="0" fillId="7" borderId="18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6" fillId="6" borderId="18" xfId="0" applyFont="1" applyFill="1" applyBorder="1" applyAlignment="1">
      <alignment wrapText="1"/>
    </xf>
    <xf numFmtId="0" fontId="0" fillId="6" borderId="19" xfId="0" applyFont="1" applyFill="1" applyBorder="1"/>
    <xf numFmtId="0" fontId="0" fillId="6" borderId="19" xfId="0" applyFont="1" applyFill="1" applyBorder="1" applyAlignment="1">
      <alignment wrapText="1"/>
    </xf>
    <xf numFmtId="0" fontId="0" fillId="6" borderId="21" xfId="0" applyFont="1" applyFill="1" applyBorder="1" applyAlignment="1">
      <alignment horizontal="left"/>
    </xf>
    <xf numFmtId="0" fontId="19" fillId="0" borderId="0" xfId="0" applyFont="1" applyFill="1"/>
    <xf numFmtId="164" fontId="0" fillId="0" borderId="0" xfId="0" applyNumberFormat="1" applyFont="1" applyFill="1"/>
    <xf numFmtId="3" fontId="5" fillId="2" borderId="0" xfId="1" applyNumberFormat="1" applyFont="1" applyFill="1" applyBorder="1" applyAlignment="1">
      <alignment horizontal="right"/>
    </xf>
    <xf numFmtId="3" fontId="7" fillId="2" borderId="16" xfId="1" applyNumberFormat="1" applyFont="1" applyFill="1" applyBorder="1"/>
    <xf numFmtId="3" fontId="8" fillId="2" borderId="16" xfId="2" applyNumberFormat="1" applyFont="1" applyFill="1" applyBorder="1"/>
    <xf numFmtId="3" fontId="0" fillId="2" borderId="16" xfId="1" applyNumberFormat="1" applyFont="1" applyFill="1" applyBorder="1"/>
    <xf numFmtId="3" fontId="5" fillId="2" borderId="22" xfId="1" applyNumberFormat="1" applyFont="1" applyFill="1" applyBorder="1" applyAlignment="1">
      <alignment horizontal="right"/>
    </xf>
    <xf numFmtId="0" fontId="0" fillId="4" borderId="20" xfId="0" applyFont="1" applyFill="1" applyBorder="1" applyAlignment="1">
      <alignment horizontal="left"/>
    </xf>
    <xf numFmtId="9" fontId="0" fillId="6" borderId="23" xfId="0" applyNumberFormat="1" applyFont="1" applyFill="1" applyBorder="1" applyAlignment="1">
      <alignment horizontal="left"/>
    </xf>
    <xf numFmtId="0" fontId="3" fillId="6" borderId="24" xfId="0" applyFont="1" applyFill="1" applyBorder="1" applyAlignment="1">
      <alignment wrapText="1"/>
    </xf>
    <xf numFmtId="9" fontId="9" fillId="6" borderId="25" xfId="2" applyFont="1" applyFill="1" applyBorder="1" applyAlignment="1">
      <alignment horizontal="left"/>
    </xf>
    <xf numFmtId="3" fontId="5" fillId="8" borderId="4" xfId="0" applyNumberFormat="1" applyFont="1" applyFill="1" applyBorder="1"/>
    <xf numFmtId="3" fontId="5" fillId="8" borderId="12" xfId="0" applyNumberFormat="1" applyFont="1" applyFill="1" applyBorder="1"/>
    <xf numFmtId="3" fontId="5" fillId="8" borderId="22" xfId="0" applyNumberFormat="1" applyFont="1" applyFill="1" applyBorder="1"/>
    <xf numFmtId="0" fontId="5" fillId="0" borderId="1" xfId="0" applyFont="1" applyBorder="1"/>
    <xf numFmtId="0" fontId="0" fillId="0" borderId="3" xfId="0" applyFont="1" applyBorder="1"/>
    <xf numFmtId="167" fontId="8" fillId="2" borderId="16" xfId="2" applyNumberFormat="1" applyFont="1" applyFill="1" applyBorder="1"/>
    <xf numFmtId="167" fontId="0" fillId="0" borderId="16" xfId="0" applyNumberFormat="1" applyFont="1" applyFill="1" applyBorder="1"/>
    <xf numFmtId="9" fontId="8" fillId="0" borderId="16" xfId="2" applyFont="1" applyFill="1" applyBorder="1"/>
    <xf numFmtId="9" fontId="0" fillId="2" borderId="16" xfId="0" applyNumberFormat="1" applyFont="1" applyFill="1" applyBorder="1"/>
    <xf numFmtId="9" fontId="0" fillId="2" borderId="16" xfId="2" applyFont="1" applyFill="1" applyBorder="1"/>
    <xf numFmtId="0" fontId="0" fillId="3" borderId="5" xfId="0" applyFont="1" applyFill="1" applyBorder="1"/>
    <xf numFmtId="10" fontId="3" fillId="0" borderId="16" xfId="3" applyNumberFormat="1" applyFont="1" applyFill="1" applyBorder="1"/>
    <xf numFmtId="0" fontId="3" fillId="3" borderId="5" xfId="0" applyFont="1" applyFill="1" applyBorder="1"/>
    <xf numFmtId="3" fontId="5" fillId="8" borderId="16" xfId="0" applyNumberFormat="1" applyFont="1" applyFill="1" applyBorder="1"/>
    <xf numFmtId="3" fontId="0" fillId="8" borderId="16" xfId="0" applyNumberFormat="1" applyFont="1" applyFill="1" applyBorder="1"/>
    <xf numFmtId="0" fontId="5" fillId="3" borderId="7" xfId="0" applyFont="1" applyFill="1" applyBorder="1"/>
    <xf numFmtId="3" fontId="5" fillId="8" borderId="17" xfId="0" applyNumberFormat="1" applyFont="1" applyFill="1" applyBorder="1"/>
    <xf numFmtId="0" fontId="5" fillId="3" borderId="5" xfId="0" applyFont="1" applyFill="1" applyBorder="1"/>
    <xf numFmtId="9" fontId="12" fillId="5" borderId="4" xfId="2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 wrapText="1"/>
    </xf>
    <xf numFmtId="0" fontId="7" fillId="3" borderId="27" xfId="1" applyFont="1" applyFill="1" applyBorder="1" applyAlignment="1">
      <alignment horizontal="right"/>
    </xf>
    <xf numFmtId="0" fontId="7" fillId="3" borderId="22" xfId="1" applyFont="1" applyFill="1" applyBorder="1" applyAlignment="1">
      <alignment horizontal="right"/>
    </xf>
    <xf numFmtId="0" fontId="2" fillId="0" borderId="4" xfId="0" applyFont="1" applyBorder="1"/>
    <xf numFmtId="10" fontId="2" fillId="0" borderId="4" xfId="0" applyNumberFormat="1" applyFont="1" applyBorder="1"/>
    <xf numFmtId="10" fontId="2" fillId="0" borderId="4" xfId="2" applyNumberFormat="1" applyFont="1" applyBorder="1"/>
    <xf numFmtId="9" fontId="2" fillId="0" borderId="4" xfId="0" applyNumberFormat="1" applyFont="1" applyBorder="1"/>
    <xf numFmtId="167" fontId="2" fillId="0" borderId="4" xfId="2" applyNumberFormat="1" applyFont="1" applyBorder="1"/>
    <xf numFmtId="0" fontId="2" fillId="0" borderId="13" xfId="0" applyFont="1" applyBorder="1"/>
    <xf numFmtId="0" fontId="2" fillId="0" borderId="22" xfId="0" applyFont="1" applyBorder="1"/>
  </cellXfs>
  <cellStyles count="4">
    <cellStyle name="Normal" xfId="0" builtinId="0"/>
    <cellStyle name="Normal 2" xfId="1" xr:uid="{00000000-0005-0000-0000-000001000000}"/>
    <cellStyle name="Percent" xfId="2" builtinId="5"/>
    <cellStyle name="Protsent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rtti Tomson" id="{D7CC001D-CEF2-4604-A086-EFD0AB70350A}" userId="41041e14a0fd52b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" dT="2019-10-20T14:03:35.70" personId="{D7CC001D-CEF2-4604-A086-EFD0AB70350A}" id="{A546204B-45AC-4C98-8454-F126A88432D2}">
    <text>Võõrkapitali osakaal on 50%. Omakapitali osakaal on 50%, mis jaguneb võrdselt juhtinvestori ja ühisrahastus investorite vahel. Diskontomäär on ümardatud ühe komakohani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78"/>
  <sheetViews>
    <sheetView tabSelected="1" zoomScale="85" zoomScaleNormal="85" workbookViewId="0">
      <selection activeCell="V28" sqref="V28"/>
    </sheetView>
  </sheetViews>
  <sheetFormatPr defaultColWidth="11.42578125" defaultRowHeight="11.25" x14ac:dyDescent="0.2"/>
  <cols>
    <col min="1" max="1" width="3.85546875" style="1" customWidth="1"/>
    <col min="2" max="2" width="39.42578125" style="1" customWidth="1"/>
    <col min="3" max="4" width="16.5703125" style="1" customWidth="1"/>
    <col min="5" max="5" width="13.5703125" style="1" bestFit="1" customWidth="1"/>
    <col min="6" max="6" width="13" style="1" customWidth="1"/>
    <col min="7" max="7" width="11.42578125" style="1" customWidth="1"/>
    <col min="8" max="8" width="16.42578125" style="1" customWidth="1"/>
    <col min="9" max="9" width="11.85546875" style="1" customWidth="1"/>
    <col min="10" max="10" width="14" style="1" customWidth="1"/>
    <col min="11" max="11" width="10" style="1" customWidth="1"/>
    <col min="12" max="12" width="24.42578125" style="1" customWidth="1"/>
    <col min="13" max="14" width="11.42578125" style="1" customWidth="1"/>
    <col min="15" max="15" width="16.28515625" style="1" customWidth="1"/>
    <col min="16" max="16384" width="11.42578125" style="1"/>
  </cols>
  <sheetData>
    <row r="2" spans="2:17" ht="15" x14ac:dyDescent="0.2">
      <c r="B2" s="11"/>
    </row>
    <row r="3" spans="2:17" ht="12" thickBot="1" x14ac:dyDescent="0.25"/>
    <row r="4" spans="2:17" ht="13.5" thickBot="1" x14ac:dyDescent="0.25">
      <c r="B4" s="216" t="s">
        <v>12</v>
      </c>
      <c r="C4" s="217"/>
      <c r="D4" s="217"/>
      <c r="E4" s="217"/>
      <c r="F4" s="52"/>
      <c r="G4" s="53"/>
      <c r="H4" s="218" t="s">
        <v>13</v>
      </c>
      <c r="I4" s="218"/>
      <c r="J4" s="218"/>
      <c r="K4" s="218"/>
      <c r="L4" s="219" t="s">
        <v>32</v>
      </c>
      <c r="M4" s="220"/>
      <c r="N4" s="220"/>
      <c r="O4" s="220"/>
      <c r="P4" s="221"/>
    </row>
    <row r="5" spans="2:17" ht="12.75" x14ac:dyDescent="0.2">
      <c r="B5" s="74" t="s">
        <v>23</v>
      </c>
      <c r="C5" s="75"/>
      <c r="D5" s="76" t="s">
        <v>22</v>
      </c>
      <c r="E5" s="75" t="s">
        <v>33</v>
      </c>
      <c r="F5" s="76" t="s">
        <v>24</v>
      </c>
      <c r="G5" s="115"/>
      <c r="H5" s="116" t="s">
        <v>34</v>
      </c>
      <c r="I5" s="42"/>
      <c r="J5" s="42" t="s">
        <v>6</v>
      </c>
      <c r="K5" s="117"/>
      <c r="L5" s="133" t="s">
        <v>34</v>
      </c>
      <c r="M5" s="100"/>
      <c r="N5" s="100"/>
      <c r="O5" s="100" t="s">
        <v>6</v>
      </c>
      <c r="P5" s="134"/>
    </row>
    <row r="6" spans="2:17" ht="12.75" x14ac:dyDescent="0.2">
      <c r="B6" s="77" t="s">
        <v>28</v>
      </c>
      <c r="C6" s="54">
        <v>3400</v>
      </c>
      <c r="D6" s="55"/>
      <c r="E6" s="55"/>
      <c r="F6" s="222" t="s">
        <v>27</v>
      </c>
      <c r="G6" s="86"/>
      <c r="H6" s="118" t="s">
        <v>3</v>
      </c>
      <c r="I6" s="93" t="s">
        <v>21</v>
      </c>
      <c r="J6" s="92" t="s">
        <v>31</v>
      </c>
      <c r="K6" s="119"/>
      <c r="L6" s="135" t="s">
        <v>3</v>
      </c>
      <c r="M6" s="103" t="s">
        <v>33</v>
      </c>
      <c r="N6" s="101" t="s">
        <v>21</v>
      </c>
      <c r="O6" s="102" t="s">
        <v>31</v>
      </c>
      <c r="P6" s="136"/>
    </row>
    <row r="7" spans="2:17" ht="38.25" x14ac:dyDescent="0.2">
      <c r="B7" s="78" t="s">
        <v>37</v>
      </c>
      <c r="C7" s="54">
        <v>3000</v>
      </c>
      <c r="D7" s="56" t="s">
        <v>47</v>
      </c>
      <c r="E7" s="152">
        <f>20000+((2500*2000*3%)/12)</f>
        <v>32500</v>
      </c>
      <c r="F7" s="222"/>
      <c r="G7" s="87">
        <f>SUM(G8:G9)</f>
        <v>5500</v>
      </c>
      <c r="H7" s="120" t="s">
        <v>50</v>
      </c>
      <c r="I7" s="95" t="s">
        <v>51</v>
      </c>
      <c r="J7" s="163" t="s">
        <v>55</v>
      </c>
      <c r="K7" s="164">
        <v>8.5000000000000006E-2</v>
      </c>
      <c r="L7" s="137" t="s">
        <v>47</v>
      </c>
      <c r="M7" s="105">
        <f>E7</f>
        <v>32500</v>
      </c>
      <c r="N7" s="106">
        <f>M7/C8</f>
        <v>16.25</v>
      </c>
      <c r="O7" s="104" t="s">
        <v>7</v>
      </c>
      <c r="P7" s="145">
        <v>8.5000000000000006E-2</v>
      </c>
      <c r="Q7" s="1" t="s">
        <v>85</v>
      </c>
    </row>
    <row r="8" spans="2:17" ht="25.5" x14ac:dyDescent="0.2">
      <c r="B8" s="79" t="s">
        <v>47</v>
      </c>
      <c r="C8" s="54">
        <v>2000</v>
      </c>
      <c r="D8" s="56" t="s">
        <v>49</v>
      </c>
      <c r="E8" s="152">
        <f>250*25</f>
        <v>6250</v>
      </c>
      <c r="F8" s="54" t="s">
        <v>25</v>
      </c>
      <c r="G8" s="88">
        <v>2800</v>
      </c>
      <c r="H8" s="120" t="s">
        <v>49</v>
      </c>
      <c r="I8" s="95" t="s">
        <v>52</v>
      </c>
      <c r="J8" s="163" t="s">
        <v>84</v>
      </c>
      <c r="K8" s="164">
        <f>K7-0.25%</f>
        <v>8.2500000000000004E-2</v>
      </c>
      <c r="L8" s="137" t="s">
        <v>49</v>
      </c>
      <c r="M8" s="105">
        <f>E8</f>
        <v>6250</v>
      </c>
      <c r="N8" s="106">
        <f>M8/C9</f>
        <v>25</v>
      </c>
      <c r="O8" s="107" t="s">
        <v>36</v>
      </c>
      <c r="P8" s="146">
        <v>8.2500000000000004E-2</v>
      </c>
      <c r="Q8" s="1" t="s">
        <v>61</v>
      </c>
    </row>
    <row r="9" spans="2:17" ht="36.75" x14ac:dyDescent="0.2">
      <c r="B9" s="79" t="s">
        <v>48</v>
      </c>
      <c r="C9" s="57">
        <v>250</v>
      </c>
      <c r="D9" s="160" t="s">
        <v>65</v>
      </c>
      <c r="E9" s="59">
        <f>450*7+150*9</f>
        <v>4500</v>
      </c>
      <c r="F9" s="59" t="s">
        <v>26</v>
      </c>
      <c r="G9" s="88">
        <v>2700</v>
      </c>
      <c r="H9" s="120" t="s">
        <v>53</v>
      </c>
      <c r="I9" s="95" t="s">
        <v>54</v>
      </c>
      <c r="J9" s="96"/>
      <c r="K9" s="119"/>
      <c r="L9" s="137" t="s">
        <v>65</v>
      </c>
      <c r="M9" s="108">
        <f>450*7+150*9+150*7</f>
        <v>5550</v>
      </c>
      <c r="N9" s="109"/>
      <c r="O9" s="107" t="s">
        <v>8</v>
      </c>
      <c r="P9" s="147">
        <v>9.9000000000000005E-2</v>
      </c>
      <c r="Q9" s="1" t="s">
        <v>86</v>
      </c>
    </row>
    <row r="10" spans="2:17" ht="12.75" x14ac:dyDescent="0.2">
      <c r="B10" s="79" t="s">
        <v>65</v>
      </c>
      <c r="C10" s="57">
        <v>750</v>
      </c>
      <c r="D10" s="58"/>
      <c r="E10" s="59"/>
      <c r="F10" s="59"/>
      <c r="G10" s="88"/>
      <c r="H10" s="122" t="s">
        <v>1</v>
      </c>
      <c r="I10" s="97">
        <v>0.05</v>
      </c>
      <c r="J10" s="96"/>
      <c r="K10" s="119"/>
      <c r="L10" s="137" t="s">
        <v>42</v>
      </c>
      <c r="M10" s="108">
        <f>SUM(M7:M9)</f>
        <v>44300</v>
      </c>
      <c r="N10" s="109">
        <f>M10/(C7)</f>
        <v>14.766666666666667</v>
      </c>
      <c r="O10" s="107"/>
      <c r="P10" s="147"/>
    </row>
    <row r="11" spans="2:17" ht="12.75" x14ac:dyDescent="0.2">
      <c r="B11" s="79"/>
      <c r="C11" s="57"/>
      <c r="D11" s="58"/>
      <c r="E11" s="59"/>
      <c r="F11" s="59"/>
      <c r="G11" s="88"/>
      <c r="H11" s="122"/>
      <c r="I11" s="97"/>
      <c r="J11" s="96"/>
      <c r="K11" s="119"/>
      <c r="L11" s="137"/>
      <c r="M11" s="108"/>
      <c r="N11" s="109"/>
      <c r="O11" s="107"/>
      <c r="P11" s="147"/>
    </row>
    <row r="12" spans="2:17" ht="25.5" x14ac:dyDescent="0.2">
      <c r="B12" s="80" t="s">
        <v>1</v>
      </c>
      <c r="C12" s="65">
        <f>150/C7</f>
        <v>0.05</v>
      </c>
      <c r="D12" s="58"/>
      <c r="E12" s="59"/>
      <c r="F12" s="60" t="s">
        <v>21</v>
      </c>
      <c r="G12" s="89">
        <f>G7/C6/12</f>
        <v>0.13480392156862744</v>
      </c>
      <c r="H12" s="123"/>
      <c r="I12" s="98"/>
      <c r="J12" s="163" t="s">
        <v>56</v>
      </c>
      <c r="K12" s="121">
        <f>0.5*K14+0.5*K13</f>
        <v>9.8750000000000004E-2</v>
      </c>
      <c r="L12" s="138"/>
      <c r="M12" s="110"/>
      <c r="N12" s="111"/>
      <c r="O12" s="107"/>
      <c r="P12" s="136"/>
    </row>
    <row r="13" spans="2:17" ht="25.5" x14ac:dyDescent="0.2">
      <c r="B13" s="79" t="s">
        <v>40</v>
      </c>
      <c r="C13" s="61">
        <v>0</v>
      </c>
      <c r="D13" s="62" t="s">
        <v>43</v>
      </c>
      <c r="E13" s="63">
        <f>SUM(E7:E9)/2850</f>
        <v>15.175438596491228</v>
      </c>
      <c r="F13" s="60"/>
      <c r="G13" s="89"/>
      <c r="H13" s="124"/>
      <c r="I13" s="99"/>
      <c r="J13" s="163" t="s">
        <v>57</v>
      </c>
      <c r="K13" s="125">
        <f>0.5*18%+0.5*14%</f>
        <v>0.16</v>
      </c>
      <c r="L13" s="137" t="s">
        <v>1</v>
      </c>
      <c r="M13" s="112"/>
      <c r="N13" s="111"/>
      <c r="O13" s="107"/>
      <c r="P13" s="136"/>
    </row>
    <row r="14" spans="2:17" ht="12.75" x14ac:dyDescent="0.2">
      <c r="B14" s="79" t="s">
        <v>44</v>
      </c>
      <c r="C14" s="61">
        <v>0</v>
      </c>
      <c r="D14" s="62" t="s">
        <v>41</v>
      </c>
      <c r="E14" s="65">
        <v>0.02</v>
      </c>
      <c r="F14" s="66"/>
      <c r="G14" s="87"/>
      <c r="H14" s="124"/>
      <c r="I14" s="99"/>
      <c r="J14" s="163" t="s">
        <v>58</v>
      </c>
      <c r="K14" s="165">
        <v>3.7499999999999999E-2</v>
      </c>
      <c r="L14" s="139" t="s">
        <v>47</v>
      </c>
      <c r="M14" s="64">
        <v>0</v>
      </c>
      <c r="N14" s="101"/>
      <c r="O14" s="107" t="s">
        <v>2</v>
      </c>
      <c r="P14" s="136">
        <f>K15</f>
        <v>0.01</v>
      </c>
      <c r="Q14" s="1" t="s">
        <v>85</v>
      </c>
    </row>
    <row r="15" spans="2:17" ht="12.75" x14ac:dyDescent="0.2">
      <c r="B15" s="81" t="s">
        <v>65</v>
      </c>
      <c r="C15" s="214">
        <f>150/C10</f>
        <v>0.2</v>
      </c>
      <c r="D15" s="68"/>
      <c r="E15" s="69"/>
      <c r="F15" s="67"/>
      <c r="G15" s="90"/>
      <c r="H15" s="118" t="s">
        <v>29</v>
      </c>
      <c r="I15" s="93" t="s">
        <v>21</v>
      </c>
      <c r="J15" s="96" t="s">
        <v>2</v>
      </c>
      <c r="K15" s="119">
        <v>0.01</v>
      </c>
      <c r="L15" s="139" t="s">
        <v>49</v>
      </c>
      <c r="M15" s="64">
        <v>0</v>
      </c>
      <c r="N15" s="101"/>
      <c r="O15" s="107"/>
      <c r="P15" s="136"/>
    </row>
    <row r="16" spans="2:17" ht="12.75" x14ac:dyDescent="0.2">
      <c r="B16" s="81"/>
      <c r="C16" s="54"/>
      <c r="D16" s="70"/>
      <c r="E16" s="65"/>
      <c r="F16" s="67"/>
      <c r="G16" s="88"/>
      <c r="H16" s="122" t="s">
        <v>30</v>
      </c>
      <c r="I16" s="95" t="s">
        <v>59</v>
      </c>
      <c r="J16" s="96"/>
      <c r="K16" s="126"/>
      <c r="L16" s="137" t="s">
        <v>60</v>
      </c>
      <c r="M16" s="112">
        <v>0.05</v>
      </c>
      <c r="N16" s="101"/>
      <c r="O16" s="107"/>
      <c r="P16" s="136"/>
    </row>
    <row r="17" spans="2:23" ht="12.75" x14ac:dyDescent="0.2">
      <c r="B17" s="82"/>
      <c r="C17" s="71"/>
      <c r="D17" s="72"/>
      <c r="E17" s="71"/>
      <c r="F17" s="71"/>
      <c r="G17" s="86"/>
      <c r="H17" s="123" t="s">
        <v>38</v>
      </c>
      <c r="I17" s="94">
        <v>0.02</v>
      </c>
      <c r="J17" s="96"/>
      <c r="K17" s="126"/>
      <c r="L17" s="140"/>
      <c r="M17" s="112"/>
      <c r="N17" s="113"/>
      <c r="O17" s="107"/>
      <c r="P17" s="141"/>
    </row>
    <row r="18" spans="2:23" ht="12.75" x14ac:dyDescent="0.2">
      <c r="B18" s="82"/>
      <c r="C18" s="73"/>
      <c r="D18" s="73"/>
      <c r="E18" s="73"/>
      <c r="F18" s="73"/>
      <c r="G18" s="86"/>
      <c r="H18" s="127"/>
      <c r="I18" s="96"/>
      <c r="J18" s="96"/>
      <c r="K18" s="128"/>
      <c r="L18" s="181" t="s">
        <v>29</v>
      </c>
      <c r="M18" s="182" t="s">
        <v>21</v>
      </c>
      <c r="N18" s="113"/>
      <c r="O18" s="107"/>
      <c r="P18" s="141"/>
    </row>
    <row r="19" spans="2:23" ht="12.75" x14ac:dyDescent="0.2">
      <c r="B19" s="176"/>
      <c r="C19" s="177"/>
      <c r="D19" s="177"/>
      <c r="E19" s="177"/>
      <c r="F19" s="177"/>
      <c r="G19" s="178"/>
      <c r="H19" s="179"/>
      <c r="I19" s="180"/>
      <c r="J19" s="180"/>
      <c r="K19" s="192"/>
      <c r="L19" s="107" t="s">
        <v>30</v>
      </c>
      <c r="M19" s="114">
        <v>0.4</v>
      </c>
      <c r="N19" s="193"/>
      <c r="O19" s="183"/>
      <c r="P19" s="184"/>
    </row>
    <row r="20" spans="2:23" ht="13.5" thickBot="1" x14ac:dyDescent="0.25">
      <c r="B20" s="83"/>
      <c r="C20" s="84"/>
      <c r="D20" s="85"/>
      <c r="E20" s="85"/>
      <c r="F20" s="85"/>
      <c r="G20" s="91"/>
      <c r="H20" s="129"/>
      <c r="I20" s="130"/>
      <c r="J20" s="131"/>
      <c r="K20" s="132"/>
      <c r="L20" s="194" t="s">
        <v>74</v>
      </c>
      <c r="M20" s="195">
        <v>0.02</v>
      </c>
      <c r="N20" s="142"/>
      <c r="O20" s="143"/>
      <c r="P20" s="144"/>
    </row>
    <row r="21" spans="2:23" ht="12" x14ac:dyDescent="0.2">
      <c r="B21" s="2"/>
      <c r="C21" s="2"/>
      <c r="D21" s="2"/>
      <c r="E21" s="3"/>
      <c r="F21" s="3"/>
      <c r="G21" s="3"/>
      <c r="H21" s="4"/>
      <c r="I21" s="5"/>
      <c r="J21" s="6"/>
      <c r="K21" s="2"/>
    </row>
    <row r="22" spans="2:23" ht="12.75" thickBot="1" x14ac:dyDescent="0.25">
      <c r="B22" s="185"/>
      <c r="C22" s="7"/>
      <c r="D22" s="7"/>
      <c r="E22" s="8"/>
      <c r="F22" s="8"/>
      <c r="G22" s="8"/>
      <c r="H22" s="9"/>
      <c r="I22" s="8"/>
      <c r="J22" s="10"/>
      <c r="K22" s="39"/>
    </row>
    <row r="23" spans="2:23" ht="12.75" x14ac:dyDescent="0.2">
      <c r="B23" s="12" t="s">
        <v>4</v>
      </c>
      <c r="C23" s="13"/>
      <c r="D23" s="13"/>
      <c r="E23" s="13"/>
      <c r="F23" s="13"/>
      <c r="G23" s="13"/>
      <c r="H23" s="13"/>
      <c r="I23" s="14"/>
      <c r="K23" s="40"/>
      <c r="L23" s="15"/>
    </row>
    <row r="24" spans="2:23" ht="12.75" x14ac:dyDescent="0.2">
      <c r="B24" s="223" t="s">
        <v>0</v>
      </c>
      <c r="C24" s="224"/>
      <c r="D24" s="16">
        <v>1</v>
      </c>
      <c r="E24" s="16">
        <f>D24+1</f>
        <v>2</v>
      </c>
      <c r="F24" s="16">
        <f>E24+1</f>
        <v>3</v>
      </c>
      <c r="G24" s="16">
        <f>F24+1</f>
        <v>4</v>
      </c>
      <c r="H24" s="16">
        <f>G24+1</f>
        <v>5</v>
      </c>
      <c r="I24" s="166">
        <f>H24+1</f>
        <v>6</v>
      </c>
      <c r="K24" s="41"/>
      <c r="L24" s="15"/>
      <c r="R24" s="225"/>
      <c r="S24" s="225"/>
      <c r="T24" s="225"/>
      <c r="U24" s="225" t="s">
        <v>88</v>
      </c>
      <c r="V24" s="225" t="s">
        <v>91</v>
      </c>
      <c r="W24" s="225"/>
    </row>
    <row r="25" spans="2:23" ht="12.75" x14ac:dyDescent="0.2">
      <c r="B25" s="50" t="s">
        <v>63</v>
      </c>
      <c r="C25" s="17"/>
      <c r="D25" s="47">
        <v>2.5000000000000001E-2</v>
      </c>
      <c r="E25" s="47">
        <v>2.5000000000000001E-2</v>
      </c>
      <c r="F25" s="47">
        <v>2.5000000000000001E-2</v>
      </c>
      <c r="G25" s="47">
        <v>2.5000000000000001E-2</v>
      </c>
      <c r="H25" s="47">
        <v>2.5000000000000001E-2</v>
      </c>
      <c r="I25" s="167">
        <v>2.5000000000000001E-2</v>
      </c>
      <c r="K25" s="161"/>
      <c r="L25" s="162"/>
      <c r="M25" s="161"/>
      <c r="N25" s="161"/>
      <c r="O25" s="161"/>
      <c r="R25" s="225" t="s">
        <v>87</v>
      </c>
      <c r="S25" s="230" t="s">
        <v>58</v>
      </c>
      <c r="T25" s="231"/>
      <c r="U25" s="225">
        <v>0.5</v>
      </c>
      <c r="V25" s="226">
        <v>3.7499999999999999E-2</v>
      </c>
      <c r="W25" s="227">
        <f>U25*V25</f>
        <v>1.8749999999999999E-2</v>
      </c>
    </row>
    <row r="26" spans="2:23" ht="12.75" x14ac:dyDescent="0.2">
      <c r="B26" s="50" t="s">
        <v>69</v>
      </c>
      <c r="C26" s="17"/>
      <c r="D26" s="45">
        <f>C8*2500*3%*0.8</f>
        <v>120000</v>
      </c>
      <c r="E26" s="45">
        <f>C8*2500*3%*(1+D25)</f>
        <v>153750</v>
      </c>
      <c r="F26" s="45">
        <f>E26*(1+E25)</f>
        <v>157593.75</v>
      </c>
      <c r="G26" s="45">
        <f>F26*(1+F25)</f>
        <v>161533.59375</v>
      </c>
      <c r="H26" s="45">
        <f>G26*(1+G25)</f>
        <v>165571.93359375</v>
      </c>
      <c r="I26" s="45">
        <f>H26*(1+H25)</f>
        <v>169711.23193359372</v>
      </c>
      <c r="K26" s="161"/>
      <c r="L26" s="162"/>
      <c r="M26" s="161"/>
      <c r="N26" s="161"/>
      <c r="O26" s="161"/>
      <c r="R26" s="225"/>
      <c r="S26" s="225" t="s">
        <v>57</v>
      </c>
      <c r="T26" s="225" t="s">
        <v>89</v>
      </c>
      <c r="U26" s="225">
        <v>0.25</v>
      </c>
      <c r="V26" s="228">
        <v>0.18</v>
      </c>
      <c r="W26" s="227">
        <f t="shared" ref="W26:W27" si="0">U26*V26</f>
        <v>4.4999999999999998E-2</v>
      </c>
    </row>
    <row r="27" spans="2:23" ht="12.75" x14ac:dyDescent="0.2">
      <c r="B27" s="50" t="s">
        <v>62</v>
      </c>
      <c r="C27" s="17"/>
      <c r="D27" s="46">
        <f>20000*12</f>
        <v>240000</v>
      </c>
      <c r="E27" s="155">
        <f>D27</f>
        <v>240000</v>
      </c>
      <c r="F27" s="155">
        <f>E27</f>
        <v>240000</v>
      </c>
      <c r="G27" s="155">
        <f>F27</f>
        <v>240000</v>
      </c>
      <c r="H27" s="155">
        <f>G27</f>
        <v>240000</v>
      </c>
      <c r="I27" s="168">
        <f>H27</f>
        <v>240000</v>
      </c>
      <c r="K27" s="161"/>
      <c r="L27" s="162"/>
      <c r="M27" s="161"/>
      <c r="N27" s="161"/>
      <c r="O27" s="161"/>
      <c r="R27" s="225"/>
      <c r="S27" s="225"/>
      <c r="T27" s="225" t="s">
        <v>90</v>
      </c>
      <c r="U27" s="225">
        <v>0.25</v>
      </c>
      <c r="V27" s="228">
        <f>V26-4%</f>
        <v>0.13999999999999999</v>
      </c>
      <c r="W27" s="227">
        <f t="shared" si="0"/>
        <v>3.4999999999999996E-2</v>
      </c>
    </row>
    <row r="28" spans="2:23" ht="12.75" x14ac:dyDescent="0.2">
      <c r="B28" s="50" t="s">
        <v>70</v>
      </c>
      <c r="C28" s="17"/>
      <c r="D28" s="46">
        <f t="shared" ref="D28:I28" si="1">D27+D26</f>
        <v>360000</v>
      </c>
      <c r="E28" s="46">
        <f t="shared" si="1"/>
        <v>393750</v>
      </c>
      <c r="F28" s="46">
        <f t="shared" si="1"/>
        <v>397593.75</v>
      </c>
      <c r="G28" s="46">
        <f t="shared" si="1"/>
        <v>401533.59375</v>
      </c>
      <c r="H28" s="46">
        <f t="shared" si="1"/>
        <v>405571.93359375</v>
      </c>
      <c r="I28" s="173">
        <f t="shared" si="1"/>
        <v>409711.23193359375</v>
      </c>
      <c r="K28" s="161"/>
      <c r="L28" s="162"/>
      <c r="M28" s="161"/>
      <c r="N28" s="161"/>
      <c r="O28" s="161"/>
      <c r="R28" s="225"/>
      <c r="S28" s="225"/>
      <c r="T28" s="225"/>
      <c r="U28" s="225"/>
      <c r="V28" s="228"/>
      <c r="W28" s="229">
        <f>SUM(W25:W27)</f>
        <v>9.8750000000000004E-2</v>
      </c>
    </row>
    <row r="29" spans="2:23" ht="12.75" x14ac:dyDescent="0.2">
      <c r="B29" s="50" t="s">
        <v>64</v>
      </c>
      <c r="C29" s="17"/>
      <c r="D29" s="149">
        <v>0.01</v>
      </c>
      <c r="E29" s="17">
        <v>0.01</v>
      </c>
      <c r="F29" s="17">
        <v>0.01</v>
      </c>
      <c r="G29" s="17">
        <v>0.01</v>
      </c>
      <c r="H29" s="17">
        <v>0.01</v>
      </c>
      <c r="I29" s="169">
        <v>0.01</v>
      </c>
      <c r="K29" s="161"/>
      <c r="L29" s="159"/>
      <c r="M29" s="159"/>
      <c r="N29" s="159"/>
      <c r="O29" s="161"/>
    </row>
    <row r="30" spans="2:23" ht="12.75" x14ac:dyDescent="0.2">
      <c r="B30" s="50" t="s">
        <v>68</v>
      </c>
      <c r="C30" s="17"/>
      <c r="D30" s="46">
        <f>M8*12</f>
        <v>75000</v>
      </c>
      <c r="E30" s="46">
        <f>D30*(1+D29)</f>
        <v>75750</v>
      </c>
      <c r="F30" s="46">
        <f>E30*(1+E29)</f>
        <v>76507.5</v>
      </c>
      <c r="G30" s="46">
        <f>F30*(1+F29)</f>
        <v>77272.574999999997</v>
      </c>
      <c r="H30" s="46">
        <f>G30*(1+G29)</f>
        <v>78045.300749999995</v>
      </c>
      <c r="I30" s="173">
        <f>H30*(1+H29)</f>
        <v>78825.753757500002</v>
      </c>
      <c r="K30" s="161"/>
      <c r="L30" s="159"/>
      <c r="M30" s="159"/>
      <c r="N30" s="159"/>
      <c r="O30" s="161"/>
    </row>
    <row r="31" spans="2:23" ht="12.75" x14ac:dyDescent="0.2">
      <c r="B31" s="50" t="s">
        <v>66</v>
      </c>
      <c r="C31" s="17"/>
      <c r="D31" s="44">
        <v>0.02</v>
      </c>
      <c r="E31" s="44">
        <v>0.02</v>
      </c>
      <c r="F31" s="44">
        <v>0.02</v>
      </c>
      <c r="G31" s="44">
        <v>0.02</v>
      </c>
      <c r="H31" s="44">
        <v>0.02</v>
      </c>
      <c r="I31" s="174">
        <v>0.02</v>
      </c>
      <c r="K31" s="161"/>
      <c r="L31" s="159"/>
      <c r="M31" s="159"/>
      <c r="N31" s="159"/>
      <c r="O31" s="161"/>
    </row>
    <row r="32" spans="2:23" ht="12.75" x14ac:dyDescent="0.2">
      <c r="B32" s="50" t="s">
        <v>67</v>
      </c>
      <c r="C32" s="17"/>
      <c r="D32" s="46">
        <f>M9*12</f>
        <v>66600</v>
      </c>
      <c r="E32" s="46">
        <f>D32*(1+D31)</f>
        <v>67932</v>
      </c>
      <c r="F32" s="46">
        <f>E32*(1+E31)</f>
        <v>69290.64</v>
      </c>
      <c r="G32" s="46">
        <f>F32*(1+F31)</f>
        <v>70676.452799999999</v>
      </c>
      <c r="H32" s="46">
        <f>G32*(1+G31)</f>
        <v>72089.981855999999</v>
      </c>
      <c r="I32" s="173">
        <f>H32*(1+H31)</f>
        <v>73531.781493119997</v>
      </c>
      <c r="K32" s="161"/>
      <c r="L32" s="159"/>
      <c r="M32" s="159"/>
      <c r="N32" s="159"/>
      <c r="O32" s="161"/>
    </row>
    <row r="33" spans="2:15" ht="12.75" x14ac:dyDescent="0.2">
      <c r="B33" s="18" t="s">
        <v>18</v>
      </c>
      <c r="C33" s="19"/>
      <c r="D33" s="20">
        <f t="shared" ref="D33:I33" si="2">+D28+D30+D32</f>
        <v>501600</v>
      </c>
      <c r="E33" s="20">
        <f t="shared" si="2"/>
        <v>537432</v>
      </c>
      <c r="F33" s="20">
        <f t="shared" si="2"/>
        <v>543391.89</v>
      </c>
      <c r="G33" s="20">
        <f t="shared" si="2"/>
        <v>549482.62155000004</v>
      </c>
      <c r="H33" s="20">
        <f t="shared" si="2"/>
        <v>555707.21619974996</v>
      </c>
      <c r="I33" s="188">
        <f t="shared" si="2"/>
        <v>562068.76718421374</v>
      </c>
      <c r="K33" s="161"/>
      <c r="L33" s="159"/>
      <c r="M33" s="159"/>
      <c r="N33" s="159"/>
      <c r="O33" s="161"/>
    </row>
    <row r="34" spans="2:15" ht="12.75" x14ac:dyDescent="0.2">
      <c r="B34" s="51" t="s">
        <v>73</v>
      </c>
      <c r="C34" s="22"/>
      <c r="D34" s="156">
        <f>M14</f>
        <v>0</v>
      </c>
      <c r="E34" s="44">
        <f t="shared" ref="E34:I35" si="3">D34</f>
        <v>0</v>
      </c>
      <c r="F34" s="44">
        <f t="shared" si="3"/>
        <v>0</v>
      </c>
      <c r="G34" s="44">
        <f t="shared" si="3"/>
        <v>0</v>
      </c>
      <c r="H34" s="44">
        <f t="shared" si="3"/>
        <v>0</v>
      </c>
      <c r="I34" s="171">
        <f t="shared" si="3"/>
        <v>0</v>
      </c>
      <c r="K34" s="161"/>
      <c r="L34" s="159"/>
      <c r="M34" s="159"/>
      <c r="N34" s="159"/>
      <c r="O34" s="161"/>
    </row>
    <row r="35" spans="2:15" ht="12.75" x14ac:dyDescent="0.2">
      <c r="B35" s="51" t="s">
        <v>72</v>
      </c>
      <c r="C35" s="22"/>
      <c r="D35" s="22">
        <f>M15</f>
        <v>0</v>
      </c>
      <c r="E35" s="22">
        <f t="shared" si="3"/>
        <v>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172">
        <f t="shared" si="3"/>
        <v>0</v>
      </c>
      <c r="K35" s="161"/>
      <c r="L35" s="159"/>
      <c r="M35" s="159"/>
      <c r="N35" s="159"/>
      <c r="O35" s="161"/>
    </row>
    <row r="36" spans="2:15" ht="12.75" x14ac:dyDescent="0.2">
      <c r="B36" s="51" t="s">
        <v>71</v>
      </c>
      <c r="C36" s="22"/>
      <c r="D36" s="175">
        <v>0.1</v>
      </c>
      <c r="E36" s="175">
        <v>0.05</v>
      </c>
      <c r="F36" s="175">
        <v>0.05</v>
      </c>
      <c r="G36" s="175">
        <v>0.05</v>
      </c>
      <c r="H36" s="175">
        <v>0.05</v>
      </c>
      <c r="I36" s="171">
        <v>0.05</v>
      </c>
      <c r="K36" s="161"/>
      <c r="L36" s="159"/>
      <c r="M36" s="159"/>
      <c r="N36" s="159"/>
      <c r="O36" s="161"/>
    </row>
    <row r="37" spans="2:15" ht="12.75" x14ac:dyDescent="0.2">
      <c r="B37" s="21" t="s">
        <v>35</v>
      </c>
      <c r="C37" s="22"/>
      <c r="D37" s="45">
        <f t="shared" ref="D37:I37" si="4">D28*-D34+D30*-D35+D32*-D36</f>
        <v>-6660</v>
      </c>
      <c r="E37" s="45">
        <f t="shared" si="4"/>
        <v>-3396.6000000000004</v>
      </c>
      <c r="F37" s="45">
        <f t="shared" si="4"/>
        <v>-3464.5320000000002</v>
      </c>
      <c r="G37" s="45">
        <f t="shared" si="4"/>
        <v>-3533.8226400000003</v>
      </c>
      <c r="H37" s="45">
        <f t="shared" si="4"/>
        <v>-3604.4990928000002</v>
      </c>
      <c r="I37" s="189">
        <f t="shared" si="4"/>
        <v>-3676.5890746559999</v>
      </c>
      <c r="K37" s="161"/>
      <c r="L37" s="159"/>
      <c r="M37" s="159"/>
      <c r="N37" s="159"/>
      <c r="O37" s="161"/>
    </row>
    <row r="38" spans="2:15" ht="12.75" x14ac:dyDescent="0.2">
      <c r="B38" s="23" t="s">
        <v>14</v>
      </c>
      <c r="C38" s="19"/>
      <c r="D38" s="20">
        <f t="shared" ref="D38:I38" si="5">D33+D37</f>
        <v>494940</v>
      </c>
      <c r="E38" s="20">
        <f t="shared" si="5"/>
        <v>534035.4</v>
      </c>
      <c r="F38" s="20">
        <f t="shared" si="5"/>
        <v>539927.35800000001</v>
      </c>
      <c r="G38" s="20">
        <f t="shared" si="5"/>
        <v>545948.79891000001</v>
      </c>
      <c r="H38" s="20">
        <f t="shared" si="5"/>
        <v>552102.71710695</v>
      </c>
      <c r="I38" s="170">
        <f t="shared" si="5"/>
        <v>558392.17810955772</v>
      </c>
      <c r="K38" s="161"/>
      <c r="L38" s="162"/>
      <c r="M38" s="161"/>
      <c r="N38" s="161"/>
      <c r="O38" s="161"/>
    </row>
    <row r="39" spans="2:15" ht="12.75" x14ac:dyDescent="0.2">
      <c r="B39" s="48" t="s">
        <v>39</v>
      </c>
      <c r="C39" s="49"/>
      <c r="D39" s="44">
        <v>0.02</v>
      </c>
      <c r="E39" s="44">
        <v>0.02</v>
      </c>
      <c r="F39" s="44">
        <v>0.02</v>
      </c>
      <c r="G39" s="44">
        <v>0.02</v>
      </c>
      <c r="H39" s="44">
        <v>0.02</v>
      </c>
      <c r="I39" s="174">
        <v>0.02</v>
      </c>
      <c r="K39" s="161"/>
      <c r="L39" s="162"/>
      <c r="M39" s="161"/>
      <c r="N39" s="161"/>
      <c r="O39" s="161"/>
    </row>
    <row r="40" spans="2:15" ht="12.75" x14ac:dyDescent="0.2">
      <c r="B40" s="21" t="s">
        <v>15</v>
      </c>
      <c r="C40" s="43"/>
      <c r="D40" s="24">
        <f>C6*-M19*12</f>
        <v>-16320</v>
      </c>
      <c r="E40" s="24">
        <f>D40*(1+D39)</f>
        <v>-16646.400000000001</v>
      </c>
      <c r="F40" s="24">
        <f>E40*(1+E39)</f>
        <v>-16979.328000000001</v>
      </c>
      <c r="G40" s="24">
        <f>F40*(1+F39)</f>
        <v>-17318.914560000001</v>
      </c>
      <c r="H40" s="24">
        <f>G40*(1+G39)</f>
        <v>-17665.2928512</v>
      </c>
      <c r="I40" s="190">
        <f>H40*(1+H39)</f>
        <v>-18018.598708223999</v>
      </c>
      <c r="K40" s="161"/>
      <c r="L40" s="162"/>
      <c r="M40" s="161"/>
      <c r="N40" s="161"/>
      <c r="O40" s="161"/>
    </row>
    <row r="41" spans="2:15" ht="12.75" x14ac:dyDescent="0.2">
      <c r="B41" s="51" t="s">
        <v>75</v>
      </c>
      <c r="C41" s="28"/>
      <c r="D41" s="24">
        <v>-65000</v>
      </c>
      <c r="E41" s="24"/>
      <c r="F41" s="24"/>
      <c r="G41" s="24"/>
      <c r="H41" s="24"/>
      <c r="I41" s="168"/>
      <c r="K41" s="161"/>
      <c r="L41" s="162"/>
      <c r="M41" s="161"/>
      <c r="N41" s="161"/>
      <c r="O41" s="161"/>
    </row>
    <row r="42" spans="2:15" ht="12.75" x14ac:dyDescent="0.2">
      <c r="B42" s="23" t="s">
        <v>16</v>
      </c>
      <c r="C42" s="19"/>
      <c r="D42" s="25">
        <f>D38+D40+D41</f>
        <v>413620</v>
      </c>
      <c r="E42" s="25">
        <f>E38+E40</f>
        <v>517389</v>
      </c>
      <c r="F42" s="25">
        <f>F38+F40</f>
        <v>522948.03</v>
      </c>
      <c r="G42" s="25">
        <f>G38+G40</f>
        <v>528629.88435000007</v>
      </c>
      <c r="H42" s="25">
        <f>H38+H40</f>
        <v>534437.42425575003</v>
      </c>
      <c r="I42" s="170">
        <f>I38+I40</f>
        <v>540373.5794013337</v>
      </c>
      <c r="K42" s="161"/>
      <c r="L42" s="162"/>
      <c r="M42" s="161"/>
      <c r="N42" s="161"/>
      <c r="O42" s="161"/>
    </row>
    <row r="43" spans="2:15" ht="12.75" x14ac:dyDescent="0.2">
      <c r="B43" s="26" t="s">
        <v>19</v>
      </c>
      <c r="C43" s="148">
        <f>P8</f>
        <v>8.2500000000000004E-2</v>
      </c>
      <c r="D43" s="27"/>
      <c r="E43" s="27"/>
      <c r="F43" s="27"/>
      <c r="G43" s="27"/>
      <c r="H43" s="28">
        <f>I42/C43</f>
        <v>6549982.7806222262</v>
      </c>
      <c r="I43" s="29"/>
      <c r="L43" s="15"/>
    </row>
    <row r="44" spans="2:15" ht="12.75" x14ac:dyDescent="0.2">
      <c r="B44" s="26" t="s">
        <v>2</v>
      </c>
      <c r="C44" s="149">
        <f>P14</f>
        <v>0.01</v>
      </c>
      <c r="D44" s="27"/>
      <c r="E44" s="27"/>
      <c r="F44" s="27"/>
      <c r="G44" s="27"/>
      <c r="H44" s="28">
        <f>-H43*C44</f>
        <v>-65499.82780622226</v>
      </c>
      <c r="I44" s="29"/>
      <c r="L44" s="15"/>
    </row>
    <row r="45" spans="2:15" ht="12.75" x14ac:dyDescent="0.2">
      <c r="B45" s="26" t="s">
        <v>20</v>
      </c>
      <c r="C45" s="150"/>
      <c r="D45" s="27"/>
      <c r="E45" s="27"/>
      <c r="F45" s="27"/>
      <c r="G45" s="27"/>
      <c r="H45" s="28">
        <f>H43+H44</f>
        <v>6484482.9528160039</v>
      </c>
      <c r="I45" s="29"/>
      <c r="L45" s="15"/>
    </row>
    <row r="46" spans="2:15" ht="12.75" x14ac:dyDescent="0.2">
      <c r="B46" s="30" t="s">
        <v>11</v>
      </c>
      <c r="C46" s="151"/>
      <c r="D46" s="31">
        <f>D42</f>
        <v>413620</v>
      </c>
      <c r="E46" s="31">
        <f>E42</f>
        <v>517389</v>
      </c>
      <c r="F46" s="31">
        <f>F42</f>
        <v>522948.03</v>
      </c>
      <c r="G46" s="31">
        <f>G42</f>
        <v>528629.88435000007</v>
      </c>
      <c r="H46" s="31">
        <f>H42+H45</f>
        <v>7018920.3770717541</v>
      </c>
      <c r="I46" s="29"/>
      <c r="L46" s="15"/>
    </row>
    <row r="47" spans="2:15" ht="12.75" x14ac:dyDescent="0.2">
      <c r="B47" s="21" t="s">
        <v>5</v>
      </c>
      <c r="C47" s="149">
        <f>P9</f>
        <v>9.9000000000000005E-2</v>
      </c>
      <c r="D47" s="27">
        <f>1/(1+$C$47)</f>
        <v>0.90991810737033674</v>
      </c>
      <c r="E47" s="27">
        <f>D47/(1+$C$47)</f>
        <v>0.82795096212041563</v>
      </c>
      <c r="F47" s="27">
        <f>E47/(1+$C$47)</f>
        <v>0.75336757244805796</v>
      </c>
      <c r="G47" s="27">
        <f>F47/(1+$C$47)</f>
        <v>0.68550279567612193</v>
      </c>
      <c r="H47" s="27">
        <f>G47/(1+$C$47)</f>
        <v>0.62375140643869154</v>
      </c>
      <c r="I47" s="29"/>
      <c r="L47" s="15"/>
    </row>
    <row r="48" spans="2:15" ht="12.75" x14ac:dyDescent="0.2">
      <c r="B48" s="23" t="s">
        <v>17</v>
      </c>
      <c r="C48" s="19"/>
      <c r="D48" s="191">
        <f>D46*D47</f>
        <v>376360.32757051865</v>
      </c>
      <c r="E48" s="32">
        <f>E46*E47</f>
        <v>428372.72034051974</v>
      </c>
      <c r="F48" s="32">
        <f>F46*F47</f>
        <v>393972.08787759423</v>
      </c>
      <c r="G48" s="32">
        <f>G46*G47</f>
        <v>362377.26359987009</v>
      </c>
      <c r="H48" s="32">
        <f>H46*H47</f>
        <v>4378061.4568796977</v>
      </c>
      <c r="I48" s="33"/>
      <c r="L48" s="15"/>
    </row>
    <row r="49" spans="2:14" ht="12.75" x14ac:dyDescent="0.2">
      <c r="B49" s="30" t="s">
        <v>9</v>
      </c>
      <c r="C49" s="196">
        <f>NPV(C47,D46:H46)</f>
        <v>5939143.8562682001</v>
      </c>
      <c r="D49" s="187"/>
      <c r="E49" s="187"/>
      <c r="F49" s="187"/>
      <c r="G49" s="187"/>
      <c r="H49" s="187"/>
      <c r="I49" s="33"/>
      <c r="L49" s="15"/>
    </row>
    <row r="50" spans="2:14" ht="13.5" thickBot="1" x14ac:dyDescent="0.25">
      <c r="B50" s="34" t="s">
        <v>79</v>
      </c>
      <c r="C50" s="197">
        <f>ROUND(C49,-4)</f>
        <v>5940000</v>
      </c>
      <c r="D50" s="35">
        <f>C50/C6</f>
        <v>1747.0588235294117</v>
      </c>
      <c r="E50" s="36" t="s">
        <v>10</v>
      </c>
      <c r="F50" s="37"/>
      <c r="G50" s="36"/>
      <c r="H50" s="36"/>
      <c r="I50" s="38"/>
      <c r="L50" s="15"/>
    </row>
    <row r="51" spans="2:14" ht="12.7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2:14" ht="14.25" x14ac:dyDescent="0.2">
      <c r="B52" s="215" t="s">
        <v>82</v>
      </c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</row>
    <row r="53" spans="2:14" s="153" customFormat="1" ht="13.5" thickBot="1" x14ac:dyDescent="0.25">
      <c r="B53" s="154"/>
      <c r="C53" s="154"/>
      <c r="D53" s="154"/>
      <c r="E53" s="186"/>
      <c r="F53" s="186"/>
      <c r="G53" s="186"/>
      <c r="H53" s="154"/>
      <c r="I53" s="154"/>
      <c r="J53" s="154"/>
      <c r="K53" s="154"/>
      <c r="L53" s="154"/>
    </row>
    <row r="54" spans="2:14" s="153" customFormat="1" ht="12.75" x14ac:dyDescent="0.2">
      <c r="B54" s="199" t="s">
        <v>45</v>
      </c>
      <c r="C54" s="200"/>
    </row>
    <row r="55" spans="2:14" s="153" customFormat="1" ht="12.75" x14ac:dyDescent="0.2">
      <c r="B55" s="50" t="s">
        <v>63</v>
      </c>
      <c r="C55" s="201">
        <v>2.5000000000000001E-2</v>
      </c>
    </row>
    <row r="56" spans="2:14" s="153" customFormat="1" ht="12.75" x14ac:dyDescent="0.2">
      <c r="B56" s="50" t="s">
        <v>69</v>
      </c>
      <c r="C56" s="189">
        <f>C8*2500*3%</f>
        <v>150000</v>
      </c>
    </row>
    <row r="57" spans="2:14" s="153" customFormat="1" ht="12.75" x14ac:dyDescent="0.2">
      <c r="B57" s="50" t="s">
        <v>62</v>
      </c>
      <c r="C57" s="173">
        <f>20000*12</f>
        <v>240000</v>
      </c>
    </row>
    <row r="58" spans="2:14" s="153" customFormat="1" ht="12.75" x14ac:dyDescent="0.2">
      <c r="B58" s="50" t="s">
        <v>70</v>
      </c>
      <c r="C58" s="173">
        <f>C57+C56</f>
        <v>390000</v>
      </c>
    </row>
    <row r="59" spans="2:14" s="153" customFormat="1" ht="12.75" x14ac:dyDescent="0.2">
      <c r="B59" s="50" t="s">
        <v>64</v>
      </c>
      <c r="C59" s="202">
        <v>0.01</v>
      </c>
    </row>
    <row r="60" spans="2:14" s="153" customFormat="1" ht="12.75" x14ac:dyDescent="0.2">
      <c r="B60" s="50" t="s">
        <v>68</v>
      </c>
      <c r="C60" s="173">
        <f>M8*12</f>
        <v>75000</v>
      </c>
    </row>
    <row r="61" spans="2:14" s="153" customFormat="1" ht="12.75" x14ac:dyDescent="0.2">
      <c r="B61" s="50" t="s">
        <v>66</v>
      </c>
      <c r="C61" s="174">
        <v>0.02</v>
      </c>
    </row>
    <row r="62" spans="2:14" s="153" customFormat="1" ht="12.75" x14ac:dyDescent="0.2">
      <c r="B62" s="50" t="s">
        <v>67</v>
      </c>
      <c r="C62" s="173">
        <f>M9*12</f>
        <v>66600</v>
      </c>
    </row>
    <row r="63" spans="2:14" s="153" customFormat="1" ht="12.75" x14ac:dyDescent="0.2">
      <c r="B63" s="18" t="s">
        <v>18</v>
      </c>
      <c r="C63" s="188">
        <f>+C58+C60+C62</f>
        <v>531600</v>
      </c>
    </row>
    <row r="64" spans="2:14" s="153" customFormat="1" ht="12.75" x14ac:dyDescent="0.2">
      <c r="B64" s="51" t="s">
        <v>73</v>
      </c>
      <c r="C64" s="203">
        <f>M14</f>
        <v>0</v>
      </c>
    </row>
    <row r="65" spans="2:14" s="153" customFormat="1" ht="12.75" x14ac:dyDescent="0.2">
      <c r="B65" s="51" t="s">
        <v>72</v>
      </c>
      <c r="C65" s="204">
        <f>M15</f>
        <v>0</v>
      </c>
    </row>
    <row r="66" spans="2:14" s="153" customFormat="1" ht="12.75" x14ac:dyDescent="0.2">
      <c r="B66" s="51" t="s">
        <v>71</v>
      </c>
      <c r="C66" s="205">
        <f>M16</f>
        <v>0.05</v>
      </c>
    </row>
    <row r="67" spans="2:14" s="153" customFormat="1" ht="12.75" x14ac:dyDescent="0.2">
      <c r="B67" s="21" t="s">
        <v>35</v>
      </c>
      <c r="C67" s="189">
        <f>C58*-C64+C60*-C65+C62*-C66</f>
        <v>-3330</v>
      </c>
    </row>
    <row r="68" spans="2:14" s="153" customFormat="1" ht="12.75" x14ac:dyDescent="0.2">
      <c r="B68" s="23" t="s">
        <v>14</v>
      </c>
      <c r="C68" s="188">
        <f>C63+C67</f>
        <v>528270</v>
      </c>
    </row>
    <row r="69" spans="2:14" s="153" customFormat="1" ht="12.75" x14ac:dyDescent="0.2">
      <c r="B69" s="48" t="s">
        <v>39</v>
      </c>
      <c r="C69" s="174">
        <v>0.02</v>
      </c>
    </row>
    <row r="70" spans="2:14" s="153" customFormat="1" ht="12.75" x14ac:dyDescent="0.2">
      <c r="B70" s="21" t="s">
        <v>15</v>
      </c>
      <c r="C70" s="190">
        <f>C6*-M19*12</f>
        <v>-16320</v>
      </c>
    </row>
    <row r="71" spans="2:14" s="153" customFormat="1" ht="12.75" x14ac:dyDescent="0.2">
      <c r="B71" s="23" t="s">
        <v>16</v>
      </c>
      <c r="C71" s="170">
        <f>C68+C70</f>
        <v>511950</v>
      </c>
    </row>
    <row r="72" spans="2:14" ht="12.75" x14ac:dyDescent="0.2">
      <c r="B72" s="206" t="s">
        <v>46</v>
      </c>
      <c r="C72" s="207">
        <f>P7</f>
        <v>8.5000000000000006E-2</v>
      </c>
    </row>
    <row r="73" spans="2:14" ht="12.75" x14ac:dyDescent="0.2">
      <c r="B73" s="208" t="s">
        <v>76</v>
      </c>
      <c r="C73" s="209">
        <f>C71/C72</f>
        <v>6022941.176470588</v>
      </c>
    </row>
    <row r="74" spans="2:14" ht="12.75" x14ac:dyDescent="0.2">
      <c r="B74" s="208" t="s">
        <v>77</v>
      </c>
      <c r="C74" s="210">
        <f>D41</f>
        <v>-65000</v>
      </c>
    </row>
    <row r="75" spans="2:14" ht="12.75" x14ac:dyDescent="0.2">
      <c r="B75" s="213" t="s">
        <v>81</v>
      </c>
      <c r="C75" s="209">
        <f>C73+C74</f>
        <v>5957941.176470588</v>
      </c>
    </row>
    <row r="76" spans="2:14" ht="13.5" thickBot="1" x14ac:dyDescent="0.25">
      <c r="B76" s="211" t="s">
        <v>80</v>
      </c>
      <c r="C76" s="212">
        <f>ROUND(C75,-4)</f>
        <v>5960000</v>
      </c>
      <c r="D76" s="198">
        <f>C75/C6</f>
        <v>1752.3356401384083</v>
      </c>
      <c r="E76" s="196" t="s">
        <v>78</v>
      </c>
    </row>
    <row r="77" spans="2:14" ht="12.75" x14ac:dyDescent="0.2">
      <c r="B77" s="157"/>
      <c r="C77" s="158"/>
    </row>
    <row r="78" spans="2:14" ht="14.25" x14ac:dyDescent="0.2">
      <c r="B78" s="215" t="s">
        <v>83</v>
      </c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</row>
  </sheetData>
  <mergeCells count="8">
    <mergeCell ref="S25:T25"/>
    <mergeCell ref="B78:N78"/>
    <mergeCell ref="B4:E4"/>
    <mergeCell ref="H4:K4"/>
    <mergeCell ref="L4:P4"/>
    <mergeCell ref="F6:F7"/>
    <mergeCell ref="B24:C24"/>
    <mergeCell ref="B52:N52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tulumeetod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M.Kajak</dc:creator>
  <cp:lastModifiedBy>Hartti Tomson</cp:lastModifiedBy>
  <dcterms:created xsi:type="dcterms:W3CDTF">2011-11-01T20:57:53Z</dcterms:created>
  <dcterms:modified xsi:type="dcterms:W3CDTF">2019-10-20T14:07:20Z</dcterms:modified>
</cp:coreProperties>
</file>