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y Drive\"/>
    </mc:Choice>
  </mc:AlternateContent>
  <bookViews>
    <workbookView xWindow="-120" yWindow="-120" windowWidth="38640" windowHeight="21240"/>
  </bookViews>
  <sheets>
    <sheet name="Sheet1" sheetId="1" r:id="rId1"/>
  </sheets>
  <definedNames>
    <definedName name="_ftn1" localSheetId="0">Sheet1!$L$26</definedName>
    <definedName name="_ftnref1" localSheetId="0">Sheet1!$L$23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 i="1" l="1"/>
  <c r="O53" i="1" l="1"/>
  <c r="O51" i="1" l="1"/>
  <c r="O50" i="1"/>
  <c r="S48" i="1"/>
  <c r="O46" i="1"/>
  <c r="O47" i="1" s="1"/>
  <c r="O45" i="1"/>
  <c r="O43" i="1"/>
  <c r="P41" i="1"/>
  <c r="O41" i="1"/>
  <c r="P40" i="1"/>
  <c r="O40" i="1"/>
  <c r="O38" i="1"/>
  <c r="P38" i="1"/>
  <c r="P37" i="1"/>
  <c r="O37" i="1"/>
  <c r="O36" i="1"/>
  <c r="B46" i="1"/>
  <c r="Q36" i="1"/>
  <c r="P36" i="1"/>
  <c r="O35" i="1"/>
  <c r="S49" i="1"/>
  <c r="M14" i="1"/>
  <c r="M13" i="1"/>
  <c r="C68" i="1"/>
  <c r="C66" i="1"/>
  <c r="B66" i="1"/>
  <c r="B56" i="1"/>
  <c r="B49" i="1"/>
  <c r="B48" i="1"/>
  <c r="C48" i="1"/>
  <c r="B45" i="1"/>
  <c r="B12" i="1"/>
  <c r="O42" i="1" l="1"/>
  <c r="Q37" i="1"/>
  <c r="R37" i="1"/>
  <c r="S37" i="1"/>
  <c r="T37" i="1"/>
  <c r="W23" i="1"/>
  <c r="B54" i="1"/>
  <c r="C56" i="1" s="1"/>
  <c r="C57" i="1" s="1"/>
  <c r="B68" i="1"/>
  <c r="B57" i="1" s="1"/>
  <c r="D66" i="1"/>
  <c r="C32" i="1"/>
  <c r="N13" i="1"/>
  <c r="B14" i="1"/>
  <c r="S36" i="1" l="1"/>
  <c r="T36" i="1"/>
  <c r="R36" i="1"/>
  <c r="T41" i="1"/>
  <c r="R41" i="1"/>
  <c r="Q41" i="1"/>
  <c r="E57" i="1"/>
  <c r="E59" i="1" s="1"/>
  <c r="S41" i="1" s="1"/>
  <c r="C49" i="1"/>
  <c r="E49" i="1"/>
  <c r="E51" i="1" s="1"/>
  <c r="C12" i="1"/>
  <c r="F13" i="1"/>
  <c r="S40" i="1" l="1"/>
  <c r="T40" i="1"/>
  <c r="Q40" i="1"/>
  <c r="R40" i="1"/>
  <c r="P42" i="1"/>
  <c r="Q38" i="1"/>
  <c r="T45" i="1"/>
  <c r="P46" i="1"/>
  <c r="R45" i="1"/>
  <c r="S45" i="1"/>
  <c r="P45" i="1"/>
  <c r="P35" i="1"/>
  <c r="Q45" i="1"/>
  <c r="D12" i="1"/>
  <c r="C14" i="1"/>
  <c r="P43" i="1" l="1"/>
  <c r="P47" i="1" s="1"/>
  <c r="P50" i="1" s="1"/>
  <c r="R38" i="1"/>
  <c r="Q42" i="1"/>
  <c r="Q46" i="1"/>
  <c r="Q35" i="1"/>
  <c r="D14" i="1"/>
  <c r="E12" i="1"/>
  <c r="S38" i="1" l="1"/>
  <c r="R42" i="1"/>
  <c r="R46" i="1"/>
  <c r="R35" i="1"/>
  <c r="Q43" i="1"/>
  <c r="Q47" i="1" s="1"/>
  <c r="Q50" i="1" s="1"/>
  <c r="F12" i="1"/>
  <c r="F14" i="1" s="1"/>
  <c r="B15" i="1" s="1"/>
  <c r="E14" i="1"/>
  <c r="T38" i="1" l="1"/>
  <c r="S42" i="1"/>
  <c r="S46" i="1"/>
  <c r="S35" i="1"/>
  <c r="R43" i="1"/>
  <c r="R47" i="1" s="1"/>
  <c r="R50" i="1" s="1"/>
  <c r="B16" i="1"/>
  <c r="T42" i="1" l="1"/>
  <c r="T46" i="1"/>
  <c r="T35" i="1"/>
  <c r="T43" i="1" s="1"/>
  <c r="T47" i="1" s="1"/>
  <c r="S43" i="1"/>
  <c r="S47" i="1" s="1"/>
  <c r="S50" i="1" l="1"/>
  <c r="O52" i="1" s="1"/>
</calcChain>
</file>

<file path=xl/sharedStrings.xml><?xml version="1.0" encoding="utf-8"?>
<sst xmlns="http://schemas.openxmlformats.org/spreadsheetml/2006/main" count="148" uniqueCount="114">
  <si>
    <t>Korrus</t>
  </si>
  <si>
    <t>Esimene</t>
  </si>
  <si>
    <t>Teine</t>
  </si>
  <si>
    <t>Parkimiskohtade arv</t>
  </si>
  <si>
    <t>Parkimiskohti ühel korrusel</t>
  </si>
  <si>
    <t>Arvestades kliendi poolt esitatud infot üürilepingu kohta, siis tulevaste rahavoogude nüüdiväärtus kujuneks alljärgnevalt.</t>
  </si>
  <si>
    <t>Sõlmitav üürileping on absoluutne netorent.</t>
  </si>
  <si>
    <t>täielik puhasrent ehk absoluutne netorent (net absolute lease)
rent, mille puhul rentnik vastutab hoone korrasoleku ja remondi eest, lepinguline renditasu ei sisalda
mingeid tegevuskulusid ega jooksvaid kapitalikulusid ning on täielik puhasrent (net absolute rent),
sisaldades vaid investeeritud kapitalu kulusust</t>
  </si>
  <si>
    <t>Hindamisel tuleb seega arvestada ainult viie aasta jooksul teenitava fikseeritud üürituluga ja üürilepingu lõpus parkimismaja müügist teenitava tuluga.</t>
  </si>
  <si>
    <t>Rahavoog</t>
  </si>
  <si>
    <t>Aasta</t>
  </si>
  <si>
    <t>Hoone suletud netopind</t>
  </si>
  <si>
    <t xml:space="preserve">Üür fikseeritakse viieks aastaks hinnaga </t>
  </si>
  <si>
    <t>€/SNPm²/kuu</t>
  </si>
  <si>
    <t>Üüritulu</t>
  </si>
  <si>
    <t>m²</t>
  </si>
  <si>
    <t>Tulu parkimiskohtade müügist</t>
  </si>
  <si>
    <t>Viienda aasta lõpus on kliendil kohustus müüa ja üürnikul osta parkimismaja tasudes iga parkimiskoha eest</t>
  </si>
  <si>
    <t>€</t>
  </si>
  <si>
    <t>Rahavoogude nüüdisväärtus</t>
  </si>
  <si>
    <t>WACC-i meetodil diskontomäära leidmine</t>
  </si>
  <si>
    <t>Võõrkapital</t>
  </si>
  <si>
    <t>Osakaal</t>
  </si>
  <si>
    <t>Omakapital</t>
  </si>
  <si>
    <t>Kapitali hind</t>
  </si>
  <si>
    <t>Eesti Panga statistika kohaselt on ärikinnisvara finantseerimisel keskmine LTV 65%. Ärikinnisvara projektide puhul on turul tavapärane laenu intressimäära fikseerimine ja turu keskmine fikseeritud intressimäär kümneks aastaks on 6,05%.</t>
  </si>
  <si>
    <t>Segment</t>
  </si>
  <si>
    <t>Asukoht</t>
  </si>
  <si>
    <t>Omakapitali tootluse soov</t>
  </si>
  <si>
    <t>Kontor</t>
  </si>
  <si>
    <t>Kesklinn</t>
  </si>
  <si>
    <t>Äärelinn</t>
  </si>
  <si>
    <t>Kaubandus</t>
  </si>
  <si>
    <t>Tööstus</t>
  </si>
  <si>
    <t>Linnast väljas</t>
  </si>
  <si>
    <t>Muu[1]</t>
  </si>
  <si>
    <t>[1] Muu segmendi all mõeldakse üürirahavooga ebatüüpilisemad ärikinnisvara nagu näiteks lasteaed, kool, parkimismaja ja muu sarnane.</t>
  </si>
  <si>
    <t>Valime, sest hinnatav vara vastab sellele.</t>
  </si>
  <si>
    <t>Ümardatud</t>
  </si>
  <si>
    <t>PGI</t>
  </si>
  <si>
    <t>Esimene korrus</t>
  </si>
  <si>
    <t>Teine korrus</t>
  </si>
  <si>
    <t>Kolmas korrus</t>
  </si>
  <si>
    <t>Olemasolev olukord</t>
  </si>
  <si>
    <t>Turg</t>
  </si>
  <si>
    <t>Kommentaar</t>
  </si>
  <si>
    <t>Lähtume turust, sest praegune üürihind on üle turutaseme</t>
  </si>
  <si>
    <t>Esimene korrus, €/h</t>
  </si>
  <si>
    <t>Teine korrus, €/kuu</t>
  </si>
  <si>
    <t>Kolmas korrus, €/kuu</t>
  </si>
  <si>
    <t>Lähtume turust, sest praegune üürihind on alla turutaseme</t>
  </si>
  <si>
    <t>Vakantsus/täituvus</t>
  </si>
  <si>
    <t>Esimese korruse parkimiskohad on üürile antud tunnipõhise arvestusega.</t>
  </si>
  <si>
    <t>Tunde parkimiskohta kohta</t>
  </si>
  <si>
    <t>Tunde esimene korrus kokku</t>
  </si>
  <si>
    <t>Tunnipõhine parkimine, €/h</t>
  </si>
  <si>
    <t>Kuutasuga parkimine, €/kuu</t>
  </si>
  <si>
    <t>2021. kuni 2023. aastal on parkimise tunnitasu kasvanud 10 senti aastas.</t>
  </si>
  <si>
    <t>Hinnatava vara tunnipõhine parkimine, €/h</t>
  </si>
  <si>
    <t>Omanik on parkimiskohtade hindasid tõstnud turuga samas tempos 2021. ja 2022. aastal.</t>
  </si>
  <si>
    <t>2021. kuni 2023. aastal on parkimise kuutasu kasvanud 5 eurot aastas.</t>
  </si>
  <si>
    <t>Hinnatav vara kuutasuga parkimine, €/kuu</t>
  </si>
  <si>
    <t>Teise korruse parkimiskohad on üürile antud kuupõhise arvestusega.</t>
  </si>
  <si>
    <t>Potentsiaalne tulu juhul kui 0% vakants</t>
  </si>
  <si>
    <t>Kahe aasta keskmine täituvus esimene korrus</t>
  </si>
  <si>
    <t>Vakantsus</t>
  </si>
  <si>
    <t>Kahe aasta keskmine vakantsus esimene korrus</t>
  </si>
  <si>
    <t>Täituvus</t>
  </si>
  <si>
    <t>Parkimiskohti korrusel</t>
  </si>
  <si>
    <t>Kahe aasta keskmine täituvus teine korrus</t>
  </si>
  <si>
    <t>Kahe aasta keskmine vakantsus teine korrus</t>
  </si>
  <si>
    <t>Tuntud tehnoloogia ettevõtete puhul nagu seda on ka ettevõtte A arvestatakse turul, et üürnik täidab kõiki oma kohustusi õigeaegselt ja täielikult ning seega vakantsuse ja maksehäirete risk puudub</t>
  </si>
  <si>
    <t>Indekseerimine</t>
  </si>
  <si>
    <t>Tulevikuks prognoositakse, et tunnipõhise parkimishind turul kasvab viis senti aastas ja kuutasupõhise parkimise hind kasvab kaks eurot aastas</t>
  </si>
  <si>
    <t>Üürilepingujärgsel indekseeritakse parkimiskoha tasu 2% aastas</t>
  </si>
  <si>
    <t>aasta</t>
  </si>
  <si>
    <t>Omanikukulud - tegevuskulud ja kapitalikulud</t>
  </si>
  <si>
    <t>Parkimismajadega seonduvad omanikukulud, mis sisaldavad tegevuskulusid ja kapitalikulusid on erinenud vastavalt korruse kasutuse intensiivsusele. Juhul kui parkimiskohad on üürile antud lühiajaliselt, siis nendega seonduvad omanikukulud moodustavad 20% sama perioodi tulust ja kui parkimiskohad on üürile antud pikemaajaliselt ehk kuuks ajaks, siis nendega seonduvad omanikukulud on 5% sama perioodi tulust</t>
  </si>
  <si>
    <t>tuludest</t>
  </si>
  <si>
    <t>Teine ja kolmas</t>
  </si>
  <si>
    <t>Kapitalisatsioonimäär</t>
  </si>
  <si>
    <t>Hoone tüüp</t>
  </si>
  <si>
    <t>Tehingu aeg</t>
  </si>
  <si>
    <t>Müügihind/NOI</t>
  </si>
  <si>
    <t>Kaubanduskeskus</t>
  </si>
  <si>
    <t>Q1 2022</t>
  </si>
  <si>
    <t>Tööstushoone</t>
  </si>
  <si>
    <t>Q3 2022</t>
  </si>
  <si>
    <t>Kontorihoone</t>
  </si>
  <si>
    <t>Q1 2023</t>
  </si>
  <si>
    <t>Parkimismaja</t>
  </si>
  <si>
    <t>Q2 2023</t>
  </si>
  <si>
    <t>Hotell</t>
  </si>
  <si>
    <t>Q3 2023</t>
  </si>
  <si>
    <t>EGI</t>
  </si>
  <si>
    <t>Teine ja kolmas korrus</t>
  </si>
  <si>
    <t>NOI</t>
  </si>
  <si>
    <t>Lõpetav väärtus</t>
  </si>
  <si>
    <t>Müügikulu</t>
  </si>
  <si>
    <t xml:space="preserve">Parkimismajade müügikulu on turul tavavapäraselt olnud 1% müügihinnast </t>
  </si>
  <si>
    <t>Turuväärtus</t>
  </si>
  <si>
    <t>Diskontormäär</t>
  </si>
  <si>
    <t>Ümardatud turuväärtus</t>
  </si>
  <si>
    <t>Hinnatava vara müügiperiood on praeguses turusituatsioonis kuni 12 kuud.</t>
  </si>
  <si>
    <r>
      <t xml:space="preserve">Hindamistulemuse täpsus on tavapärane </t>
    </r>
    <r>
      <rPr>
        <sz val="11"/>
        <color theme="1"/>
        <rFont val="Calibri"/>
        <family val="2"/>
        <charset val="186"/>
      </rPr>
      <t>±</t>
    </r>
    <r>
      <rPr>
        <sz val="11"/>
        <color theme="1"/>
        <rFont val="Arial"/>
        <family val="2"/>
        <charset val="186"/>
      </rPr>
      <t>10%.</t>
    </r>
  </si>
  <si>
    <t>3.    Kas klient peaks nõustuma ettevõtte A poolt pakutava üürilepinguga ja miks?</t>
  </si>
  <si>
    <t>Jah klient peaks nõustuma, sest üürilepingu tulevaste rahavoogude nüüdisväärtus on kõrgem kui vara turuväärtus.</t>
  </si>
  <si>
    <t>€/parkimiskoht</t>
  </si>
  <si>
    <t>Hinnatava vara turuväärtus väärtuse kuupäeva seisuga on 1 880 000 € (9 641 €/parkimiskoht). Leitud turuväärtus ei sisalda käibemaksu.</t>
  </si>
  <si>
    <t>Kolm korrust igal korrusel 65 kohta</t>
  </si>
  <si>
    <t>Juhul kui klient nõustuks sõlmima üürilepingu, millega annab kogu parkimismaja üürile ettevõttele A, siis oleks tulevaste rahavoogude nüüdisväärtus 2 340 000 €.</t>
  </si>
  <si>
    <r>
      <t>2.</t>
    </r>
    <r>
      <rPr>
        <b/>
        <sz val="7"/>
        <color theme="1"/>
        <rFont val="Times New Roman"/>
        <family val="1"/>
        <charset val="186"/>
      </rPr>
      <t xml:space="preserve">    </t>
    </r>
    <r>
      <rPr>
        <b/>
        <sz val="11"/>
        <color theme="1"/>
        <rFont val="Arial"/>
        <family val="2"/>
        <charset val="186"/>
      </rPr>
      <t>Leida palun vara turuväärtus diskonteeritud rahavoogude meetodil väärtuse kuupäeva 30.10.2023 seisuga</t>
    </r>
  </si>
  <si>
    <r>
      <t>1.</t>
    </r>
    <r>
      <rPr>
        <b/>
        <sz val="7"/>
        <color theme="1"/>
        <rFont val="Arial"/>
        <family val="2"/>
        <charset val="186"/>
      </rPr>
      <t xml:space="preserve">    </t>
    </r>
    <r>
      <rPr>
        <b/>
        <sz val="11"/>
        <color theme="1"/>
        <rFont val="Arial"/>
        <family val="2"/>
        <charset val="186"/>
      </rPr>
      <t>Juhul kui klient nõustub parkimismaja tervikuna ettevõttele A-le üürile andma, siis mis on tulevaste rahavoogude nüüdisväärtus?</t>
    </r>
  </si>
  <si>
    <t>Lähtume olemasolevast olukorrast, sest kolmas korrus on koormatud pikaajalise üürilepinguga, mida omanik ei saa ennetähtaegselt lõpetada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</si>
</sst>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0%"/>
    <numFmt numFmtId="165" formatCode="0.00000%"/>
  </numFmts>
  <fonts count="7" x14ac:knownFonts="1">
    <font>
      <sz val="11"/>
      <color theme="1"/>
      <name val="Calibri"/>
      <family val="2"/>
      <charset val="186"/>
      <scheme val="minor"/>
    </font>
    <font>
      <sz val="11"/>
      <color theme="1"/>
      <name val="Calibri"/>
      <family val="2"/>
      <charset val="186"/>
      <scheme val="minor"/>
    </font>
    <font>
      <sz val="11"/>
      <color theme="1"/>
      <name val="Arial"/>
      <family val="2"/>
      <charset val="186"/>
    </font>
    <font>
      <sz val="11"/>
      <color theme="1"/>
      <name val="Calibri"/>
      <family val="2"/>
      <charset val="186"/>
    </font>
    <font>
      <b/>
      <sz val="11"/>
      <color theme="1"/>
      <name val="Arial"/>
      <family val="2"/>
      <charset val="186"/>
    </font>
    <font>
      <b/>
      <sz val="7"/>
      <color theme="1"/>
      <name val="Times New Roman"/>
      <family val="1"/>
      <charset val="186"/>
    </font>
    <font>
      <b/>
      <sz val="7"/>
      <color theme="1"/>
      <name val="Arial"/>
      <family val="2"/>
      <charset val="186"/>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2" fillId="0" borderId="0" xfId="0" applyFont="1"/>
    <xf numFmtId="3" fontId="2" fillId="0" borderId="0" xfId="0" applyNumberFormat="1" applyFont="1"/>
    <xf numFmtId="2" fontId="2" fillId="0" borderId="0" xfId="0" applyNumberFormat="1" applyFont="1"/>
    <xf numFmtId="165" fontId="2" fillId="0" borderId="0" xfId="1" applyNumberFormat="1" applyFont="1"/>
    <xf numFmtId="4" fontId="2" fillId="0" borderId="0" xfId="0" applyNumberFormat="1" applyFont="1"/>
    <xf numFmtId="9" fontId="2" fillId="0" borderId="0" xfId="0" applyNumberFormat="1" applyFont="1"/>
    <xf numFmtId="10" fontId="2" fillId="0" borderId="0" xfId="0" applyNumberFormat="1" applyFont="1"/>
    <xf numFmtId="0" fontId="2" fillId="2" borderId="0" xfId="0" applyFont="1" applyFill="1"/>
    <xf numFmtId="9" fontId="2" fillId="2" borderId="0" xfId="0" applyNumberFormat="1" applyFont="1" applyFill="1"/>
    <xf numFmtId="6" fontId="2" fillId="0" borderId="0" xfId="0" applyNumberFormat="1" applyFont="1"/>
    <xf numFmtId="9" fontId="2" fillId="0" borderId="0" xfId="1" applyFont="1"/>
    <xf numFmtId="0" fontId="4" fillId="2" borderId="0" xfId="0" applyFont="1" applyFill="1"/>
    <xf numFmtId="164" fontId="2" fillId="0" borderId="0" xfId="1" applyNumberFormat="1" applyFont="1"/>
    <xf numFmtId="0" fontId="2" fillId="0" borderId="0" xfId="0" applyFont="1" applyAlignment="1">
      <alignment horizontal="left" indent="1"/>
    </xf>
    <xf numFmtId="10" fontId="4" fillId="2" borderId="0" xfId="0" applyNumberFormat="1" applyFont="1" applyFill="1"/>
    <xf numFmtId="0" fontId="2" fillId="0" borderId="4" xfId="0" applyFont="1" applyBorder="1"/>
    <xf numFmtId="0" fontId="2" fillId="0" borderId="0" xfId="0" applyFont="1" applyBorder="1"/>
    <xf numFmtId="0" fontId="2" fillId="0" borderId="5" xfId="0" applyFont="1" applyBorder="1"/>
    <xf numFmtId="0" fontId="2" fillId="0" borderId="4" xfId="0" applyFont="1" applyBorder="1" applyAlignment="1"/>
    <xf numFmtId="0" fontId="2" fillId="0" borderId="0" xfId="0" applyFont="1" applyBorder="1" applyAlignment="1"/>
    <xf numFmtId="3" fontId="2" fillId="0" borderId="0" xfId="0" applyNumberFormat="1" applyFont="1" applyBorder="1"/>
    <xf numFmtId="6" fontId="2" fillId="0" borderId="0" xfId="0" applyNumberFormat="1" applyFont="1" applyBorder="1"/>
    <xf numFmtId="0" fontId="2" fillId="0" borderId="6" xfId="0" applyFont="1" applyBorder="1"/>
    <xf numFmtId="0" fontId="2" fillId="0" borderId="7" xfId="0" applyFont="1" applyBorder="1"/>
    <xf numFmtId="0" fontId="2" fillId="0" borderId="8" xfId="0" applyFont="1" applyBorder="1"/>
    <xf numFmtId="0" fontId="4" fillId="3" borderId="0" xfId="0" applyFont="1" applyFill="1"/>
    <xf numFmtId="0" fontId="4" fillId="2" borderId="1" xfId="0" applyFont="1" applyFill="1" applyBorder="1" applyAlignment="1">
      <alignment horizontal="left" vertical="center" indent="5"/>
    </xf>
    <xf numFmtId="0" fontId="4" fillId="2" borderId="0" xfId="0" applyFont="1" applyFill="1" applyAlignment="1">
      <alignment horizontal="left" vertical="center" indent="5"/>
    </xf>
    <xf numFmtId="0" fontId="4" fillId="2" borderId="1" xfId="0" applyFont="1" applyFill="1" applyBorder="1"/>
    <xf numFmtId="0" fontId="2" fillId="2" borderId="2" xfId="0" applyFont="1" applyFill="1" applyBorder="1"/>
    <xf numFmtId="0" fontId="2" fillId="2" borderId="3" xfId="0" applyFont="1" applyFill="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zoomScale="85" zoomScaleNormal="85" workbookViewId="0">
      <selection activeCell="C21" sqref="C21"/>
    </sheetView>
  </sheetViews>
  <sheetFormatPr defaultRowHeight="14.25" x14ac:dyDescent="0.2"/>
  <cols>
    <col min="1" max="1" width="40" style="1" customWidth="1"/>
    <col min="2" max="2" width="19.7109375" style="1" bestFit="1" customWidth="1"/>
    <col min="3" max="3" width="12" style="1" customWidth="1"/>
    <col min="4" max="4" width="9.42578125" style="1" bestFit="1" customWidth="1"/>
    <col min="5" max="5" width="26.140625" style="1" bestFit="1" customWidth="1"/>
    <col min="6" max="6" width="12.140625" style="1" customWidth="1"/>
    <col min="7" max="10" width="9.140625" style="1"/>
    <col min="11" max="11" width="9.85546875" style="1" bestFit="1" customWidth="1"/>
    <col min="12" max="12" width="40.7109375" style="1" bestFit="1" customWidth="1"/>
    <col min="13" max="13" width="9.140625" style="1"/>
    <col min="14" max="14" width="25.85546875" style="1" bestFit="1" customWidth="1"/>
    <col min="15" max="15" width="13" style="1" customWidth="1"/>
    <col min="16" max="20" width="12.140625" style="1" customWidth="1"/>
    <col min="21" max="21" width="11.28515625" style="1" bestFit="1" customWidth="1"/>
    <col min="22" max="22" width="18.42578125" style="1" bestFit="1" customWidth="1"/>
    <col min="23" max="16384" width="9.140625" style="1"/>
  </cols>
  <sheetData>
    <row r="1" spans="1:24" ht="15" x14ac:dyDescent="0.2">
      <c r="A1" s="27" t="s">
        <v>112</v>
      </c>
      <c r="B1" s="30"/>
      <c r="C1" s="30"/>
      <c r="D1" s="30"/>
      <c r="E1" s="30"/>
      <c r="F1" s="30"/>
      <c r="G1" s="30"/>
      <c r="H1" s="30"/>
      <c r="I1" s="30"/>
      <c r="J1" s="31"/>
      <c r="N1" s="1" t="s">
        <v>11</v>
      </c>
      <c r="O1" s="1">
        <v>6000</v>
      </c>
      <c r="P1" s="1" t="s">
        <v>15</v>
      </c>
    </row>
    <row r="2" spans="1:24" x14ac:dyDescent="0.2">
      <c r="A2" s="16" t="s">
        <v>5</v>
      </c>
      <c r="B2" s="17"/>
      <c r="C2" s="17"/>
      <c r="D2" s="17"/>
      <c r="E2" s="17"/>
      <c r="F2" s="17"/>
      <c r="G2" s="17"/>
      <c r="H2" s="17"/>
      <c r="I2" s="17"/>
      <c r="J2" s="18"/>
      <c r="N2" s="1" t="s">
        <v>3</v>
      </c>
      <c r="O2" s="1">
        <f>O3*3</f>
        <v>195</v>
      </c>
      <c r="P2" s="1" t="s">
        <v>109</v>
      </c>
    </row>
    <row r="3" spans="1:24" x14ac:dyDescent="0.2">
      <c r="A3" s="16"/>
      <c r="B3" s="17"/>
      <c r="C3" s="17"/>
      <c r="D3" s="17"/>
      <c r="E3" s="17"/>
      <c r="F3" s="17"/>
      <c r="G3" s="17"/>
      <c r="H3" s="17"/>
      <c r="I3" s="17"/>
      <c r="J3" s="18"/>
      <c r="N3" s="1" t="s">
        <v>4</v>
      </c>
      <c r="O3" s="1">
        <v>65</v>
      </c>
    </row>
    <row r="4" spans="1:24" x14ac:dyDescent="0.2">
      <c r="A4" s="16" t="s">
        <v>6</v>
      </c>
      <c r="B4" s="17"/>
      <c r="C4" s="17"/>
      <c r="D4" s="17"/>
      <c r="E4" s="17"/>
      <c r="F4" s="17"/>
      <c r="G4" s="17"/>
      <c r="H4" s="17"/>
      <c r="I4" s="17"/>
      <c r="J4" s="18"/>
    </row>
    <row r="5" spans="1:24" x14ac:dyDescent="0.2">
      <c r="A5" s="19" t="s">
        <v>7</v>
      </c>
      <c r="B5" s="20"/>
      <c r="C5" s="20"/>
      <c r="D5" s="20"/>
      <c r="E5" s="20"/>
      <c r="F5" s="17"/>
      <c r="G5" s="17"/>
      <c r="H5" s="17"/>
      <c r="I5" s="17"/>
      <c r="J5" s="18"/>
    </row>
    <row r="6" spans="1:24" x14ac:dyDescent="0.2">
      <c r="A6" s="19" t="s">
        <v>8</v>
      </c>
      <c r="B6" s="17"/>
      <c r="C6" s="17"/>
      <c r="D6" s="17"/>
      <c r="E6" s="17"/>
      <c r="F6" s="17"/>
      <c r="G6" s="17"/>
      <c r="H6" s="17"/>
      <c r="I6" s="17"/>
      <c r="J6" s="18"/>
    </row>
    <row r="7" spans="1:24" x14ac:dyDescent="0.2">
      <c r="A7" s="19" t="s">
        <v>12</v>
      </c>
      <c r="B7" s="17">
        <v>4</v>
      </c>
      <c r="C7" s="17" t="s">
        <v>13</v>
      </c>
      <c r="D7" s="17"/>
      <c r="E7" s="17"/>
      <c r="F7" s="17"/>
      <c r="G7" s="17"/>
      <c r="H7" s="17"/>
      <c r="I7" s="17"/>
      <c r="J7" s="18"/>
    </row>
    <row r="8" spans="1:24" x14ac:dyDescent="0.2">
      <c r="A8" s="16" t="s">
        <v>17</v>
      </c>
      <c r="B8" s="17"/>
      <c r="C8" s="17"/>
      <c r="D8" s="17"/>
      <c r="E8" s="17"/>
      <c r="F8" s="17"/>
      <c r="G8" s="17"/>
      <c r="H8" s="17">
        <v>10000</v>
      </c>
      <c r="I8" s="17" t="s">
        <v>18</v>
      </c>
      <c r="J8" s="18"/>
    </row>
    <row r="9" spans="1:24" x14ac:dyDescent="0.2">
      <c r="A9" s="16" t="s">
        <v>71</v>
      </c>
      <c r="B9" s="17"/>
      <c r="C9" s="17"/>
      <c r="D9" s="17"/>
      <c r="E9" s="17"/>
      <c r="F9" s="17"/>
      <c r="G9" s="17"/>
      <c r="H9" s="17"/>
      <c r="I9" s="17"/>
      <c r="J9" s="18"/>
    </row>
    <row r="10" spans="1:24" x14ac:dyDescent="0.2">
      <c r="A10" s="16"/>
      <c r="B10" s="17"/>
      <c r="C10" s="17"/>
      <c r="D10" s="17"/>
      <c r="E10" s="17"/>
      <c r="F10" s="17"/>
      <c r="G10" s="17"/>
      <c r="H10" s="17"/>
      <c r="I10" s="17"/>
      <c r="J10" s="18"/>
    </row>
    <row r="11" spans="1:24" x14ac:dyDescent="0.2">
      <c r="A11" s="16" t="s">
        <v>10</v>
      </c>
      <c r="B11" s="17">
        <v>1</v>
      </c>
      <c r="C11" s="17">
        <v>2</v>
      </c>
      <c r="D11" s="17">
        <v>3</v>
      </c>
      <c r="E11" s="17">
        <v>4</v>
      </c>
      <c r="F11" s="17">
        <v>5</v>
      </c>
      <c r="G11" s="17"/>
      <c r="H11" s="17"/>
      <c r="I11" s="17"/>
      <c r="J11" s="18"/>
      <c r="L11" s="1" t="s">
        <v>20</v>
      </c>
      <c r="M11" s="1" t="s">
        <v>22</v>
      </c>
      <c r="N11" s="1" t="s">
        <v>24</v>
      </c>
    </row>
    <row r="12" spans="1:24" x14ac:dyDescent="0.2">
      <c r="A12" s="16" t="s">
        <v>14</v>
      </c>
      <c r="B12" s="21">
        <f>B7*O1*12</f>
        <v>288000</v>
      </c>
      <c r="C12" s="21">
        <f>B12</f>
        <v>288000</v>
      </c>
      <c r="D12" s="21">
        <f t="shared" ref="D12:F12" si="0">C12</f>
        <v>288000</v>
      </c>
      <c r="E12" s="21">
        <f t="shared" si="0"/>
        <v>288000</v>
      </c>
      <c r="F12" s="21">
        <f t="shared" si="0"/>
        <v>288000</v>
      </c>
      <c r="G12" s="17"/>
      <c r="H12" s="17"/>
      <c r="I12" s="17"/>
      <c r="J12" s="18"/>
      <c r="K12" s="2"/>
      <c r="L12" s="1" t="s">
        <v>21</v>
      </c>
      <c r="M12" s="6">
        <v>0.65</v>
      </c>
      <c r="N12" s="7">
        <v>6.0499999999999998E-2</v>
      </c>
      <c r="O12" s="1" t="s">
        <v>25</v>
      </c>
    </row>
    <row r="13" spans="1:24" x14ac:dyDescent="0.2">
      <c r="A13" s="16" t="s">
        <v>16</v>
      </c>
      <c r="B13" s="21"/>
      <c r="C13" s="21"/>
      <c r="D13" s="21"/>
      <c r="E13" s="21"/>
      <c r="F13" s="21">
        <f>O2*H8</f>
        <v>1950000</v>
      </c>
      <c r="G13" s="17"/>
      <c r="H13" s="17"/>
      <c r="I13" s="17"/>
      <c r="J13" s="18"/>
      <c r="K13" s="2"/>
      <c r="L13" s="1" t="s">
        <v>23</v>
      </c>
      <c r="M13" s="6">
        <f>1-M12</f>
        <v>0.35</v>
      </c>
      <c r="N13" s="6">
        <f>N24</f>
        <v>0.16</v>
      </c>
    </row>
    <row r="14" spans="1:24" ht="15" x14ac:dyDescent="0.25">
      <c r="A14" s="16" t="s">
        <v>9</v>
      </c>
      <c r="B14" s="21">
        <f>SUM(B12:B13)</f>
        <v>288000</v>
      </c>
      <c r="C14" s="21">
        <f t="shared" ref="C14:E14" si="1">SUM(C12:C13)</f>
        <v>288000</v>
      </c>
      <c r="D14" s="21">
        <f t="shared" si="1"/>
        <v>288000</v>
      </c>
      <c r="E14" s="21">
        <f t="shared" si="1"/>
        <v>288000</v>
      </c>
      <c r="F14" s="21">
        <f>SUM(F12:F13)</f>
        <v>2238000</v>
      </c>
      <c r="G14" s="17"/>
      <c r="H14" s="17"/>
      <c r="I14" s="17"/>
      <c r="J14" s="18"/>
      <c r="K14" s="3"/>
      <c r="L14" s="12" t="s">
        <v>101</v>
      </c>
      <c r="M14" s="15">
        <f>(M12*N12)+(M13*N13)</f>
        <v>9.5324999999999993E-2</v>
      </c>
      <c r="U14" s="1" t="s">
        <v>80</v>
      </c>
    </row>
    <row r="15" spans="1:24" x14ac:dyDescent="0.2">
      <c r="A15" s="16" t="s">
        <v>19</v>
      </c>
      <c r="B15" s="22">
        <f>NPV(M14,B14:F14)</f>
        <v>2341768.8033817997</v>
      </c>
      <c r="C15" s="17"/>
      <c r="D15" s="17"/>
      <c r="E15" s="17"/>
      <c r="F15" s="17"/>
      <c r="G15" s="17"/>
      <c r="H15" s="17"/>
      <c r="I15" s="17"/>
      <c r="J15" s="18"/>
      <c r="K15" s="4"/>
      <c r="U15" s="1" t="s">
        <v>27</v>
      </c>
      <c r="V15" s="1" t="s">
        <v>81</v>
      </c>
      <c r="W15" s="1" t="s">
        <v>82</v>
      </c>
      <c r="X15" s="1" t="s">
        <v>83</v>
      </c>
    </row>
    <row r="16" spans="1:24" x14ac:dyDescent="0.2">
      <c r="A16" s="16" t="s">
        <v>38</v>
      </c>
      <c r="B16" s="22">
        <f>ROUND(B15,-4)</f>
        <v>2340000</v>
      </c>
      <c r="C16" s="17"/>
      <c r="D16" s="17"/>
      <c r="E16" s="17"/>
      <c r="F16" s="17"/>
      <c r="G16" s="17"/>
      <c r="H16" s="17"/>
      <c r="I16" s="17"/>
      <c r="J16" s="18"/>
      <c r="L16" s="1" t="s">
        <v>26</v>
      </c>
      <c r="M16" s="1" t="s">
        <v>27</v>
      </c>
      <c r="N16" s="1" t="s">
        <v>28</v>
      </c>
      <c r="U16" s="1" t="s">
        <v>30</v>
      </c>
      <c r="V16" s="1" t="s">
        <v>84</v>
      </c>
      <c r="W16" s="1" t="s">
        <v>85</v>
      </c>
      <c r="X16" s="1">
        <v>13.33</v>
      </c>
    </row>
    <row r="17" spans="1:25" x14ac:dyDescent="0.2">
      <c r="A17" s="16"/>
      <c r="B17" s="17"/>
      <c r="C17" s="17"/>
      <c r="D17" s="17"/>
      <c r="E17" s="17"/>
      <c r="F17" s="17"/>
      <c r="G17" s="17"/>
      <c r="H17" s="17"/>
      <c r="I17" s="17"/>
      <c r="J17" s="18"/>
      <c r="L17" s="1" t="s">
        <v>29</v>
      </c>
      <c r="M17" s="1" t="s">
        <v>30</v>
      </c>
      <c r="N17" s="6">
        <v>0.12</v>
      </c>
      <c r="U17" s="1" t="s">
        <v>31</v>
      </c>
      <c r="V17" s="1" t="s">
        <v>86</v>
      </c>
      <c r="W17" s="1" t="s">
        <v>87</v>
      </c>
      <c r="X17" s="1">
        <v>12.5</v>
      </c>
    </row>
    <row r="18" spans="1:25" x14ac:dyDescent="0.2">
      <c r="A18" s="16" t="s">
        <v>110</v>
      </c>
      <c r="B18" s="17"/>
      <c r="C18" s="17"/>
      <c r="D18" s="17"/>
      <c r="E18" s="17"/>
      <c r="F18" s="17"/>
      <c r="G18" s="17"/>
      <c r="H18" s="17"/>
      <c r="I18" s="17"/>
      <c r="J18" s="18"/>
      <c r="M18" s="1" t="s">
        <v>31</v>
      </c>
      <c r="N18" s="6">
        <v>0.14000000000000001</v>
      </c>
      <c r="U18" s="1" t="s">
        <v>30</v>
      </c>
      <c r="V18" s="1" t="s">
        <v>88</v>
      </c>
      <c r="W18" s="1" t="s">
        <v>89</v>
      </c>
      <c r="X18" s="1">
        <v>14.88</v>
      </c>
    </row>
    <row r="19" spans="1:25" x14ac:dyDescent="0.2">
      <c r="A19" s="16"/>
      <c r="B19" s="17"/>
      <c r="C19" s="17"/>
      <c r="D19" s="17"/>
      <c r="E19" s="17"/>
      <c r="F19" s="17"/>
      <c r="G19" s="17"/>
      <c r="H19" s="17"/>
      <c r="I19" s="17"/>
      <c r="J19" s="18"/>
      <c r="L19" s="1" t="s">
        <v>32</v>
      </c>
      <c r="M19" s="1" t="s">
        <v>30</v>
      </c>
      <c r="N19" s="6">
        <v>0.13</v>
      </c>
      <c r="U19" s="1" t="s">
        <v>30</v>
      </c>
      <c r="V19" s="1" t="s">
        <v>90</v>
      </c>
      <c r="W19" s="1" t="s">
        <v>89</v>
      </c>
      <c r="X19" s="1">
        <v>13</v>
      </c>
    </row>
    <row r="20" spans="1:25" x14ac:dyDescent="0.2">
      <c r="A20" s="23"/>
      <c r="B20" s="24"/>
      <c r="C20" s="24"/>
      <c r="D20" s="24"/>
      <c r="E20" s="24"/>
      <c r="F20" s="24"/>
      <c r="G20" s="24"/>
      <c r="H20" s="24"/>
      <c r="I20" s="24"/>
      <c r="J20" s="25"/>
      <c r="M20" s="1" t="s">
        <v>31</v>
      </c>
      <c r="N20" s="6">
        <v>0.15</v>
      </c>
      <c r="U20" s="8" t="s">
        <v>31</v>
      </c>
      <c r="V20" s="8" t="s">
        <v>90</v>
      </c>
      <c r="W20" s="8" t="s">
        <v>91</v>
      </c>
      <c r="X20" s="8">
        <v>12.5</v>
      </c>
      <c r="Y20" s="1" t="s">
        <v>37</v>
      </c>
    </row>
    <row r="21" spans="1:25" x14ac:dyDescent="0.2">
      <c r="L21" s="1" t="s">
        <v>33</v>
      </c>
      <c r="M21" s="1" t="s">
        <v>31</v>
      </c>
      <c r="N21" s="6">
        <v>0.15</v>
      </c>
      <c r="U21" s="1" t="s">
        <v>30</v>
      </c>
      <c r="V21" s="1" t="s">
        <v>92</v>
      </c>
      <c r="W21" s="1" t="s">
        <v>93</v>
      </c>
      <c r="X21" s="1">
        <v>14</v>
      </c>
    </row>
    <row r="22" spans="1:25" ht="15" customHeight="1" x14ac:dyDescent="0.2">
      <c r="M22" s="1" t="s">
        <v>34</v>
      </c>
      <c r="N22" s="6">
        <v>0.17</v>
      </c>
    </row>
    <row r="23" spans="1:25" ht="15" customHeight="1" x14ac:dyDescent="0.2">
      <c r="L23" s="1" t="s">
        <v>35</v>
      </c>
      <c r="M23" s="1" t="s">
        <v>30</v>
      </c>
      <c r="N23" s="6">
        <v>0.14000000000000001</v>
      </c>
      <c r="U23" s="1" t="s">
        <v>80</v>
      </c>
      <c r="W23" s="13">
        <f>1/X20</f>
        <v>0.08</v>
      </c>
    </row>
    <row r="24" spans="1:25" x14ac:dyDescent="0.2">
      <c r="M24" s="8" t="s">
        <v>31</v>
      </c>
      <c r="N24" s="9">
        <v>0.16</v>
      </c>
      <c r="O24" s="1" t="s">
        <v>37</v>
      </c>
    </row>
    <row r="26" spans="1:25" x14ac:dyDescent="0.2">
      <c r="L26" s="1" t="s">
        <v>36</v>
      </c>
    </row>
    <row r="27" spans="1:25" ht="15" x14ac:dyDescent="0.2">
      <c r="A27" s="28" t="s">
        <v>111</v>
      </c>
      <c r="B27" s="8"/>
      <c r="C27" s="8"/>
      <c r="D27" s="8"/>
      <c r="E27" s="8"/>
      <c r="F27" s="8"/>
    </row>
    <row r="29" spans="1:25" ht="15" x14ac:dyDescent="0.25">
      <c r="A29" s="12" t="s">
        <v>39</v>
      </c>
      <c r="B29" s="1" t="s">
        <v>43</v>
      </c>
      <c r="C29" s="1" t="s">
        <v>44</v>
      </c>
      <c r="D29" s="1" t="s">
        <v>45</v>
      </c>
      <c r="N29" s="12" t="s">
        <v>76</v>
      </c>
    </row>
    <row r="30" spans="1:25" x14ac:dyDescent="0.2">
      <c r="A30" s="1" t="s">
        <v>47</v>
      </c>
      <c r="B30" s="1">
        <v>1</v>
      </c>
      <c r="C30" s="8">
        <v>0.85</v>
      </c>
      <c r="D30" s="1" t="s">
        <v>46</v>
      </c>
      <c r="N30" s="1" t="s">
        <v>77</v>
      </c>
    </row>
    <row r="31" spans="1:25" x14ac:dyDescent="0.2">
      <c r="A31" s="1" t="s">
        <v>48</v>
      </c>
      <c r="B31" s="1">
        <v>75</v>
      </c>
      <c r="C31" s="8">
        <v>80</v>
      </c>
      <c r="D31" s="1" t="s">
        <v>50</v>
      </c>
      <c r="N31" s="1" t="s">
        <v>40</v>
      </c>
      <c r="O31" s="6">
        <v>0.2</v>
      </c>
      <c r="P31" s="1" t="s">
        <v>78</v>
      </c>
    </row>
    <row r="32" spans="1:25" x14ac:dyDescent="0.2">
      <c r="A32" s="1" t="s">
        <v>49</v>
      </c>
      <c r="B32" s="8">
        <v>100</v>
      </c>
      <c r="C32" s="1">
        <f>C31</f>
        <v>80</v>
      </c>
      <c r="D32" s="1" t="s">
        <v>113</v>
      </c>
      <c r="N32" s="1" t="s">
        <v>79</v>
      </c>
      <c r="O32" s="6">
        <v>0.05</v>
      </c>
      <c r="P32" s="1" t="s">
        <v>78</v>
      </c>
    </row>
    <row r="34" spans="1:20" ht="15" x14ac:dyDescent="0.25">
      <c r="A34" s="26" t="s">
        <v>72</v>
      </c>
      <c r="O34" s="1">
        <v>1</v>
      </c>
      <c r="P34" s="1">
        <v>2</v>
      </c>
      <c r="Q34" s="1">
        <v>3</v>
      </c>
      <c r="R34" s="1">
        <v>4</v>
      </c>
      <c r="S34" s="1">
        <v>5</v>
      </c>
      <c r="T34" s="1">
        <v>6</v>
      </c>
    </row>
    <row r="35" spans="1:20" x14ac:dyDescent="0.2">
      <c r="A35" s="1" t="s">
        <v>47</v>
      </c>
      <c r="B35" s="1">
        <v>0.05</v>
      </c>
      <c r="D35" s="1" t="s">
        <v>73</v>
      </c>
      <c r="N35" s="1" t="s">
        <v>39</v>
      </c>
      <c r="O35" s="2">
        <f>SUM(O36:O38)</f>
        <v>624390</v>
      </c>
      <c r="P35" s="2">
        <f t="shared" ref="P35:T35" si="2">SUM(P36:P38)</f>
        <v>655980</v>
      </c>
      <c r="Q35" s="2">
        <f t="shared" si="2"/>
        <v>687601.2</v>
      </c>
      <c r="R35" s="2">
        <f t="shared" si="2"/>
        <v>719254.22400000005</v>
      </c>
      <c r="S35" s="2">
        <f t="shared" si="2"/>
        <v>750939.70848000003</v>
      </c>
      <c r="T35" s="2">
        <f t="shared" si="2"/>
        <v>782658.30264959997</v>
      </c>
    </row>
    <row r="36" spans="1:20" x14ac:dyDescent="0.2">
      <c r="A36" s="1" t="s">
        <v>48</v>
      </c>
      <c r="B36" s="1">
        <v>2</v>
      </c>
      <c r="N36" s="14" t="s">
        <v>40</v>
      </c>
      <c r="O36" s="2">
        <f>C30*B46</f>
        <v>483990</v>
      </c>
      <c r="P36" s="2">
        <f>($C$30+$B$35*O34)*$B$46</f>
        <v>512460</v>
      </c>
      <c r="Q36" s="2">
        <f>($C$30+$B$35*P34)*$B$46</f>
        <v>540930</v>
      </c>
      <c r="R36" s="2">
        <f t="shared" ref="R36:T36" si="3">($C$30+$B$35*Q34)*$B$46</f>
        <v>569400</v>
      </c>
      <c r="S36" s="2">
        <f t="shared" si="3"/>
        <v>597870</v>
      </c>
      <c r="T36" s="2">
        <f t="shared" si="3"/>
        <v>626340</v>
      </c>
    </row>
    <row r="37" spans="1:20" x14ac:dyDescent="0.2">
      <c r="A37" s="1" t="s">
        <v>49</v>
      </c>
      <c r="B37" s="6">
        <v>0.02</v>
      </c>
      <c r="C37" s="1" t="s">
        <v>75</v>
      </c>
      <c r="D37" s="1" t="s">
        <v>74</v>
      </c>
      <c r="N37" s="14" t="s">
        <v>41</v>
      </c>
      <c r="O37" s="2">
        <f>C31*O3*12</f>
        <v>62400</v>
      </c>
      <c r="P37" s="2">
        <f>($C$31+$B$36*O34)*$O$3*12</f>
        <v>63960</v>
      </c>
      <c r="Q37" s="2">
        <f t="shared" ref="Q37:T37" si="4">($C$31+$B$36*P34)*$O$3*12</f>
        <v>65520</v>
      </c>
      <c r="R37" s="2">
        <f t="shared" si="4"/>
        <v>67080</v>
      </c>
      <c r="S37" s="2">
        <f t="shared" si="4"/>
        <v>68640</v>
      </c>
      <c r="T37" s="2">
        <f t="shared" si="4"/>
        <v>70200</v>
      </c>
    </row>
    <row r="38" spans="1:20" x14ac:dyDescent="0.2">
      <c r="N38" s="14" t="s">
        <v>42</v>
      </c>
      <c r="O38" s="2">
        <f>B32*O3*12</f>
        <v>78000</v>
      </c>
      <c r="P38" s="2">
        <f>O38*(1+$B$37)</f>
        <v>79560</v>
      </c>
      <c r="Q38" s="2">
        <f t="shared" ref="Q38:T38" si="5">P38*(1+$B$37)</f>
        <v>81151.199999999997</v>
      </c>
      <c r="R38" s="2">
        <f t="shared" si="5"/>
        <v>82774.224000000002</v>
      </c>
      <c r="S38" s="2">
        <f t="shared" si="5"/>
        <v>84429.708480000001</v>
      </c>
      <c r="T38" s="2">
        <f t="shared" si="5"/>
        <v>86118.302649600009</v>
      </c>
    </row>
    <row r="39" spans="1:20" ht="15" x14ac:dyDescent="0.25">
      <c r="A39" s="12" t="s">
        <v>51</v>
      </c>
      <c r="N39" s="1" t="s">
        <v>65</v>
      </c>
    </row>
    <row r="40" spans="1:20" x14ac:dyDescent="0.2">
      <c r="A40" s="1" t="s">
        <v>0</v>
      </c>
      <c r="B40" s="1">
        <v>2021</v>
      </c>
      <c r="C40" s="1">
        <v>2022</v>
      </c>
      <c r="N40" s="14" t="s">
        <v>40</v>
      </c>
      <c r="O40" s="2">
        <f>-$E$51*O36</f>
        <v>-353783.24583333335</v>
      </c>
      <c r="P40" s="2">
        <f>-$E$51*P36</f>
        <v>-374594.02500000002</v>
      </c>
      <c r="Q40" s="2">
        <f t="shared" ref="Q40:T40" si="6">-$E$51*Q36</f>
        <v>-395404.8041666667</v>
      </c>
      <c r="R40" s="2">
        <f t="shared" si="6"/>
        <v>-416215.58333333337</v>
      </c>
      <c r="S40" s="2">
        <f t="shared" si="6"/>
        <v>-437026.36249999999</v>
      </c>
      <c r="T40" s="2">
        <f t="shared" si="6"/>
        <v>-457837.14166666666</v>
      </c>
    </row>
    <row r="41" spans="1:20" x14ac:dyDescent="0.2">
      <c r="A41" s="1" t="s">
        <v>1</v>
      </c>
      <c r="B41" s="5">
        <v>119574</v>
      </c>
      <c r="C41" s="5">
        <v>141211.20000000001</v>
      </c>
      <c r="E41" s="1" t="s">
        <v>52</v>
      </c>
      <c r="N41" s="14" t="s">
        <v>41</v>
      </c>
      <c r="O41" s="2">
        <f>O37*-$E$59</f>
        <v>-23400</v>
      </c>
      <c r="P41" s="2">
        <f>P37*-$E$59</f>
        <v>-23985</v>
      </c>
      <c r="Q41" s="2">
        <f t="shared" ref="Q41:T41" si="7">Q37*-$E$59</f>
        <v>-24570</v>
      </c>
      <c r="R41" s="2">
        <f t="shared" si="7"/>
        <v>-25155</v>
      </c>
      <c r="S41" s="2">
        <f t="shared" si="7"/>
        <v>-25740</v>
      </c>
      <c r="T41" s="2">
        <f t="shared" si="7"/>
        <v>-26325</v>
      </c>
    </row>
    <row r="42" spans="1:20" x14ac:dyDescent="0.2">
      <c r="A42" s="1" t="s">
        <v>2</v>
      </c>
      <c r="B42" s="5">
        <v>30420</v>
      </c>
      <c r="C42" s="5">
        <v>35490</v>
      </c>
      <c r="E42" s="1" t="s">
        <v>62</v>
      </c>
      <c r="N42" s="14" t="s">
        <v>42</v>
      </c>
      <c r="O42" s="2">
        <f>O38*0%</f>
        <v>0</v>
      </c>
      <c r="P42" s="2">
        <f t="shared" ref="P42:T42" si="8">P38*0%</f>
        <v>0</v>
      </c>
      <c r="Q42" s="2">
        <f t="shared" si="8"/>
        <v>0</v>
      </c>
      <c r="R42" s="2">
        <f t="shared" si="8"/>
        <v>0</v>
      </c>
      <c r="S42" s="2">
        <f t="shared" si="8"/>
        <v>0</v>
      </c>
      <c r="T42" s="2">
        <f t="shared" si="8"/>
        <v>0</v>
      </c>
    </row>
    <row r="43" spans="1:20" x14ac:dyDescent="0.2">
      <c r="N43" s="1" t="s">
        <v>94</v>
      </c>
      <c r="O43" s="2">
        <f>O35+SUM(O40:O42)</f>
        <v>247206.75416666665</v>
      </c>
      <c r="P43" s="2">
        <f t="shared" ref="P43:T43" si="9">P35+SUM(P40:P42)</f>
        <v>257400.97499999998</v>
      </c>
      <c r="Q43" s="2">
        <f t="shared" si="9"/>
        <v>267626.39583333326</v>
      </c>
      <c r="R43" s="2">
        <f t="shared" si="9"/>
        <v>277883.64066666667</v>
      </c>
      <c r="S43" s="2">
        <f t="shared" si="9"/>
        <v>288173.34598000004</v>
      </c>
      <c r="T43" s="2">
        <f t="shared" si="9"/>
        <v>298496.1609829333</v>
      </c>
    </row>
    <row r="44" spans="1:20" x14ac:dyDescent="0.2">
      <c r="A44" s="1" t="s">
        <v>40</v>
      </c>
      <c r="N44" s="1" t="s">
        <v>76</v>
      </c>
    </row>
    <row r="45" spans="1:20" x14ac:dyDescent="0.2">
      <c r="A45" s="1" t="s">
        <v>53</v>
      </c>
      <c r="B45" s="1">
        <f>365*24</f>
        <v>8760</v>
      </c>
      <c r="N45" s="14" t="s">
        <v>40</v>
      </c>
      <c r="O45" s="2">
        <f>O36*-$O$31</f>
        <v>-96798</v>
      </c>
      <c r="P45" s="2">
        <f t="shared" ref="P45:T45" si="10">P36*-$O$31</f>
        <v>-102492</v>
      </c>
      <c r="Q45" s="2">
        <f t="shared" si="10"/>
        <v>-108186</v>
      </c>
      <c r="R45" s="2">
        <f t="shared" si="10"/>
        <v>-113880</v>
      </c>
      <c r="S45" s="2">
        <f t="shared" si="10"/>
        <v>-119574</v>
      </c>
      <c r="T45" s="2">
        <f t="shared" si="10"/>
        <v>-125268</v>
      </c>
    </row>
    <row r="46" spans="1:20" x14ac:dyDescent="0.2">
      <c r="A46" s="1" t="s">
        <v>54</v>
      </c>
      <c r="B46" s="1">
        <f>B45*O3</f>
        <v>569400</v>
      </c>
      <c r="N46" s="14" t="s">
        <v>95</v>
      </c>
      <c r="O46" s="2">
        <f>SUM(O37:O38)*-$O$32</f>
        <v>-7020</v>
      </c>
      <c r="P46" s="2">
        <f t="shared" ref="P46:T46" si="11">SUM(P37:P38)*-$O$32</f>
        <v>-7176</v>
      </c>
      <c r="Q46" s="2">
        <f t="shared" si="11"/>
        <v>-7333.5600000000013</v>
      </c>
      <c r="R46" s="2">
        <f t="shared" si="11"/>
        <v>-7492.7111999999997</v>
      </c>
      <c r="S46" s="2">
        <f t="shared" si="11"/>
        <v>-7653.4854240000004</v>
      </c>
      <c r="T46" s="2">
        <f t="shared" si="11"/>
        <v>-7815.9151324800014</v>
      </c>
    </row>
    <row r="47" spans="1:20" x14ac:dyDescent="0.2">
      <c r="B47" s="1">
        <v>2021</v>
      </c>
      <c r="C47" s="1">
        <v>2022</v>
      </c>
      <c r="N47" s="1" t="s">
        <v>96</v>
      </c>
      <c r="O47" s="2">
        <f>SUM(O43:O46)</f>
        <v>143388.75416666665</v>
      </c>
      <c r="P47" s="2">
        <f t="shared" ref="P47:T47" si="12">SUM(P43:P46)</f>
        <v>147732.97499999998</v>
      </c>
      <c r="Q47" s="2">
        <f t="shared" si="12"/>
        <v>152106.83583333326</v>
      </c>
      <c r="R47" s="2">
        <f t="shared" si="12"/>
        <v>156510.92946666668</v>
      </c>
      <c r="S47" s="2">
        <f t="shared" si="12"/>
        <v>160945.86055600003</v>
      </c>
      <c r="T47" s="2">
        <f t="shared" si="12"/>
        <v>165412.2458504533</v>
      </c>
    </row>
    <row r="48" spans="1:20" x14ac:dyDescent="0.2">
      <c r="A48" s="1" t="s">
        <v>63</v>
      </c>
      <c r="B48" s="2">
        <f>B46*B66</f>
        <v>455520</v>
      </c>
      <c r="C48" s="2">
        <f>B46*C66</f>
        <v>512460</v>
      </c>
      <c r="E48" s="1" t="s">
        <v>64</v>
      </c>
      <c r="N48" s="1" t="s">
        <v>97</v>
      </c>
      <c r="S48" s="2">
        <f>T47/$W$23</f>
        <v>2067653.0731306663</v>
      </c>
    </row>
    <row r="49" spans="1:22" x14ac:dyDescent="0.2">
      <c r="A49" s="1" t="s">
        <v>67</v>
      </c>
      <c r="B49" s="11">
        <f>B41/B48</f>
        <v>0.26250000000000001</v>
      </c>
      <c r="C49" s="11">
        <f>C41/C48</f>
        <v>0.27555555555555555</v>
      </c>
      <c r="E49" s="6">
        <f>AVERAGE(B49:C49)</f>
        <v>0.26902777777777775</v>
      </c>
      <c r="N49" s="1" t="s">
        <v>98</v>
      </c>
      <c r="S49" s="1">
        <f>S48*-1%</f>
        <v>-20676.530731306662</v>
      </c>
      <c r="V49" s="1" t="s">
        <v>99</v>
      </c>
    </row>
    <row r="50" spans="1:22" x14ac:dyDescent="0.2">
      <c r="B50" s="11"/>
      <c r="C50" s="11"/>
      <c r="E50" s="1" t="s">
        <v>66</v>
      </c>
      <c r="N50" s="1" t="s">
        <v>9</v>
      </c>
      <c r="O50" s="2">
        <f>SUM(O47:O49)</f>
        <v>143388.75416666665</v>
      </c>
      <c r="P50" s="2">
        <f t="shared" ref="P50:S50" si="13">SUM(P47:P49)</f>
        <v>147732.97499999998</v>
      </c>
      <c r="Q50" s="2">
        <f t="shared" si="13"/>
        <v>152106.83583333326</v>
      </c>
      <c r="R50" s="2">
        <f t="shared" si="13"/>
        <v>156510.92946666668</v>
      </c>
      <c r="S50" s="2">
        <f t="shared" si="13"/>
        <v>2207922.4029553593</v>
      </c>
    </row>
    <row r="51" spans="1:22" x14ac:dyDescent="0.2">
      <c r="E51" s="6">
        <f>1-E49</f>
        <v>0.73097222222222225</v>
      </c>
      <c r="N51" s="1" t="s">
        <v>100</v>
      </c>
      <c r="O51" s="10">
        <f>NPV(M14,O50:S50)</f>
        <v>1878986.9453546249</v>
      </c>
    </row>
    <row r="52" spans="1:22" x14ac:dyDescent="0.2">
      <c r="E52" s="6"/>
      <c r="N52" s="1" t="s">
        <v>102</v>
      </c>
      <c r="O52" s="10">
        <f>ROUND(O51,-4)</f>
        <v>1880000</v>
      </c>
    </row>
    <row r="53" spans="1:22" x14ac:dyDescent="0.2">
      <c r="A53" s="1" t="s">
        <v>41</v>
      </c>
      <c r="E53" s="6"/>
      <c r="N53" s="1" t="s">
        <v>107</v>
      </c>
      <c r="O53" s="10">
        <f>O52/O2</f>
        <v>9641.0256410256407</v>
      </c>
    </row>
    <row r="54" spans="1:22" x14ac:dyDescent="0.2">
      <c r="A54" s="1" t="s">
        <v>68</v>
      </c>
      <c r="B54" s="1">
        <f>O3</f>
        <v>65</v>
      </c>
      <c r="E54" s="6"/>
      <c r="N54" s="1" t="s">
        <v>108</v>
      </c>
    </row>
    <row r="55" spans="1:22" x14ac:dyDescent="0.2">
      <c r="B55" s="1">
        <v>2021</v>
      </c>
      <c r="C55" s="1">
        <v>2022</v>
      </c>
      <c r="E55" s="6"/>
      <c r="N55" s="1" t="s">
        <v>103</v>
      </c>
    </row>
    <row r="56" spans="1:22" ht="15" x14ac:dyDescent="0.25">
      <c r="A56" s="1" t="s">
        <v>63</v>
      </c>
      <c r="B56" s="2">
        <f>$B$54*B68*12</f>
        <v>50700</v>
      </c>
      <c r="C56" s="2">
        <f>$B$54*C68*12</f>
        <v>54600</v>
      </c>
      <c r="E56" s="1" t="s">
        <v>69</v>
      </c>
      <c r="N56" s="1" t="s">
        <v>104</v>
      </c>
    </row>
    <row r="57" spans="1:22" x14ac:dyDescent="0.2">
      <c r="A57" s="1" t="s">
        <v>67</v>
      </c>
      <c r="B57" s="11">
        <f>B42/B56</f>
        <v>0.6</v>
      </c>
      <c r="C57" s="11">
        <f>C42/C56</f>
        <v>0.65</v>
      </c>
      <c r="E57" s="6">
        <f>AVERAGE(B57:C57)</f>
        <v>0.625</v>
      </c>
    </row>
    <row r="58" spans="1:22" ht="15" x14ac:dyDescent="0.25">
      <c r="E58" s="1" t="s">
        <v>70</v>
      </c>
      <c r="N58" s="29" t="s">
        <v>105</v>
      </c>
      <c r="O58" s="30"/>
      <c r="P58" s="30"/>
      <c r="Q58" s="30"/>
      <c r="R58" s="30"/>
      <c r="S58" s="30"/>
      <c r="T58" s="30"/>
      <c r="U58" s="31"/>
    </row>
    <row r="59" spans="1:22" x14ac:dyDescent="0.2">
      <c r="E59" s="6">
        <f>1-E57</f>
        <v>0.375</v>
      </c>
      <c r="N59" s="16" t="s">
        <v>106</v>
      </c>
      <c r="O59" s="17"/>
      <c r="P59" s="17"/>
      <c r="Q59" s="17"/>
      <c r="R59" s="17"/>
      <c r="S59" s="17"/>
      <c r="T59" s="17"/>
      <c r="U59" s="18"/>
    </row>
    <row r="60" spans="1:22" x14ac:dyDescent="0.2">
      <c r="E60" s="6"/>
      <c r="N60" s="23"/>
      <c r="O60" s="24"/>
      <c r="P60" s="24"/>
      <c r="Q60" s="24"/>
      <c r="R60" s="24"/>
      <c r="S60" s="24"/>
      <c r="T60" s="24"/>
      <c r="U60" s="25"/>
    </row>
    <row r="61" spans="1:22" x14ac:dyDescent="0.2">
      <c r="A61" s="1" t="s">
        <v>42</v>
      </c>
      <c r="E61" s="6"/>
    </row>
    <row r="62" spans="1:22" x14ac:dyDescent="0.2">
      <c r="A62" s="1" t="s">
        <v>71</v>
      </c>
      <c r="E62" s="6"/>
    </row>
    <row r="64" spans="1:22" x14ac:dyDescent="0.2">
      <c r="B64" s="1">
        <v>2021</v>
      </c>
      <c r="C64" s="1">
        <v>2022</v>
      </c>
      <c r="D64" s="1">
        <v>2023</v>
      </c>
    </row>
    <row r="65" spans="1:5" x14ac:dyDescent="0.2">
      <c r="A65" s="1" t="s">
        <v>55</v>
      </c>
      <c r="B65" s="1">
        <v>0.65</v>
      </c>
      <c r="C65" s="1">
        <v>0.75</v>
      </c>
      <c r="D65" s="1">
        <v>0.85</v>
      </c>
    </row>
    <row r="66" spans="1:5" x14ac:dyDescent="0.2">
      <c r="A66" s="8" t="s">
        <v>58</v>
      </c>
      <c r="B66" s="8">
        <f>C66-(C65-B65)</f>
        <v>0.8</v>
      </c>
      <c r="C66" s="8">
        <f>D66-(D65-C65)</f>
        <v>0.9</v>
      </c>
      <c r="D66" s="8">
        <f>B30</f>
        <v>1</v>
      </c>
      <c r="E66" s="1" t="s">
        <v>59</v>
      </c>
    </row>
    <row r="67" spans="1:5" x14ac:dyDescent="0.2">
      <c r="A67" s="1" t="s">
        <v>56</v>
      </c>
      <c r="B67" s="1">
        <v>70</v>
      </c>
      <c r="C67" s="1">
        <v>75</v>
      </c>
      <c r="D67" s="1">
        <v>80</v>
      </c>
    </row>
    <row r="68" spans="1:5" x14ac:dyDescent="0.2">
      <c r="A68" s="8" t="s">
        <v>61</v>
      </c>
      <c r="B68" s="8">
        <f>C68-(C67-B67)</f>
        <v>65</v>
      </c>
      <c r="C68" s="8">
        <f>D68-(D67-C67)</f>
        <v>70</v>
      </c>
      <c r="D68" s="8">
        <v>75</v>
      </c>
    </row>
    <row r="70" spans="1:5" x14ac:dyDescent="0.2">
      <c r="A70" s="1" t="s">
        <v>57</v>
      </c>
    </row>
    <row r="71" spans="1:5" x14ac:dyDescent="0.2">
      <c r="A71" s="1" t="s">
        <v>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Sheet1!_ftn1</vt:lpstr>
      <vt:lpstr>Sheet1!_ftnref1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Hartti Tomson</dc:creator>
  <cp:lastModifiedBy>Hartti Tomson</cp:lastModifiedBy>
  <dcterms:created xsi:type="dcterms:W3CDTF">2023-10-10T17:14:09Z</dcterms:created>
  <dcterms:modified xsi:type="dcterms:W3CDTF">2023-10-31T19:45:45Z</dcterms:modified>
</cp:coreProperties>
</file>