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tti\Downloads\"/>
    </mc:Choice>
  </mc:AlternateContent>
  <xr:revisionPtr revIDLastSave="0" documentId="13_ncr:1_{8DF23E5B-0EF2-4F53-833A-263FEA47B036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B29" i="1"/>
  <c r="B30" i="1" s="1"/>
  <c r="H21" i="1"/>
  <c r="J22" i="1" s="1"/>
  <c r="I21" i="1"/>
  <c r="C14" i="1"/>
  <c r="C15" i="1" s="1"/>
  <c r="B34" i="1" s="1"/>
  <c r="C29" i="1" l="1"/>
  <c r="B14" i="1"/>
  <c r="C30" i="1" l="1"/>
  <c r="C31" i="1" s="1"/>
  <c r="D29" i="1"/>
  <c r="B31" i="1"/>
  <c r="M18" i="1"/>
  <c r="M19" i="1" s="1"/>
  <c r="J17" i="1"/>
  <c r="J18" i="1"/>
  <c r="J19" i="1"/>
  <c r="J20" i="1"/>
  <c r="J16" i="1"/>
  <c r="L23" i="1" l="1"/>
  <c r="D30" i="1"/>
  <c r="D31" i="1"/>
  <c r="E29" i="1"/>
  <c r="E30" i="1" l="1"/>
  <c r="E31" i="1" s="1"/>
  <c r="B33" i="1"/>
  <c r="B37" i="1" s="1"/>
  <c r="F29" i="1"/>
  <c r="F30" i="1" l="1"/>
  <c r="F31" i="1"/>
  <c r="D32" i="1"/>
  <c r="C33" i="1"/>
  <c r="C37" i="1" s="1"/>
  <c r="G29" i="1"/>
  <c r="G30" i="1" l="1"/>
  <c r="G31" i="1" s="1"/>
  <c r="E32" i="1"/>
  <c r="D33" i="1"/>
  <c r="D37" i="1" s="1"/>
  <c r="F32" i="1" l="1"/>
  <c r="E33" i="1"/>
  <c r="E37" i="1" s="1"/>
  <c r="G32" i="1" l="1"/>
  <c r="G33" i="1" s="1"/>
  <c r="F35" i="1" s="1"/>
  <c r="F36" i="1" s="1"/>
  <c r="F33" i="1"/>
  <c r="F37" i="1" l="1"/>
  <c r="B38" i="1" s="1"/>
  <c r="B39" i="1" s="1"/>
  <c r="B40" i="1" s="1"/>
</calcChain>
</file>

<file path=xl/sharedStrings.xml><?xml version="1.0" encoding="utf-8"?>
<sst xmlns="http://schemas.openxmlformats.org/spreadsheetml/2006/main" count="95" uniqueCount="79">
  <si>
    <t>Hoone suletud netopind</t>
  </si>
  <si>
    <t>Korterite arv</t>
  </si>
  <si>
    <t>Esimene korrus</t>
  </si>
  <si>
    <t>1-toaline</t>
  </si>
  <si>
    <t>Teine korrus</t>
  </si>
  <si>
    <t>Neli 1-toalist</t>
  </si>
  <si>
    <t>Kaks 2-toalist ja üks 3-toaline</t>
  </si>
  <si>
    <t>Hoone ehitusmaksumus</t>
  </si>
  <si>
    <t>Hoone tüüp</t>
  </si>
  <si>
    <t>Ehitumaksumus, €</t>
  </si>
  <si>
    <t>Hoone suletud netopind, m²</t>
  </si>
  <si>
    <t>Kontorihoone</t>
  </si>
  <si>
    <t>Tööstushoone</t>
  </si>
  <si>
    <t>Korterelamu</t>
  </si>
  <si>
    <t>Hotell</t>
  </si>
  <si>
    <t>Hinnatava varaga sarnane</t>
  </si>
  <si>
    <t>Hinnatava vara ehitusmaksumus</t>
  </si>
  <si>
    <t xml:space="preserve">Veidi suuremad hooned, mille suletud netopindala on kuni 500 m² on valminud aasta ajaga </t>
  </si>
  <si>
    <t>PGI</t>
  </si>
  <si>
    <t>Olemasolev olukord</t>
  </si>
  <si>
    <t>Info puudub</t>
  </si>
  <si>
    <t>Turg</t>
  </si>
  <si>
    <t>Turuinfo kohaselt on teada, et hiljuti on sõlmitud üürilepinguid sarnastes uutes korterelamutes asuvate korteritega järgneval hinnatasemel. 1-toalised korterid on üürile antud hinnaga 350 €, 2-toalised hinnaga 450 € ja 3-toalised hinnaga 520 €.</t>
  </si>
  <si>
    <t>tk</t>
  </si>
  <si>
    <t>2-toaline</t>
  </si>
  <si>
    <t>3-toaline</t>
  </si>
  <si>
    <t>Enegiaklass</t>
  </si>
  <si>
    <t>A</t>
  </si>
  <si>
    <t>Vakantsus</t>
  </si>
  <si>
    <t>Uusehitiste puhul, mis on väga heas seisukorras ja turul enam hinnatud on pikaajaline vakantsus püsinud senini tasemel kuni</t>
  </si>
  <si>
    <t>Omanikukulud - tegevuskulud ja kapitalikulud</t>
  </si>
  <si>
    <t>Nr</t>
  </si>
  <si>
    <t>Suletud netopindala, m²</t>
  </si>
  <si>
    <t>Omanikukulud aastas, €</t>
  </si>
  <si>
    <t>Keskmine</t>
  </si>
  <si>
    <t>Turuosalised lähtuvad turukeskmisest omanikukulude näitajast</t>
  </si>
  <si>
    <t>Hoone ehituse ajal on hoone omanikukulud tavapärasest poole madalamad</t>
  </si>
  <si>
    <t>Tulumäärad</t>
  </si>
  <si>
    <t>Diskontomäär</t>
  </si>
  <si>
    <t>WACC</t>
  </si>
  <si>
    <t>Võõrkapital</t>
  </si>
  <si>
    <t>Omakapital</t>
  </si>
  <si>
    <t>Osakaal</t>
  </si>
  <si>
    <t>Hind</t>
  </si>
  <si>
    <t>Väga heas seisukorras hoonete puhul on väikelinnas asuva vara puhul tootluse ootus 15%.</t>
  </si>
  <si>
    <t>Kapitalisatsioonimäär</t>
  </si>
  <si>
    <t>Toimunud tehingute kapitalisatsioonimäär on olnud turul ühe protsendipunkti võrra madalam diskontomäärast</t>
  </si>
  <si>
    <t>EGI</t>
  </si>
  <si>
    <t>Omanikukulud - tegevus ja kapitalikulud</t>
  </si>
  <si>
    <t>NOI</t>
  </si>
  <si>
    <t>Hoone ehituskulu</t>
  </si>
  <si>
    <t>€/kuu</t>
  </si>
  <si>
    <t>Esimene aasta kui toimub hoone ehitus on vakantsus</t>
  </si>
  <si>
    <t>Lõpetav väärtus</t>
  </si>
  <si>
    <t>Müügikulud</t>
  </si>
  <si>
    <t>Rahavoog</t>
  </si>
  <si>
    <t>Turuväärtus</t>
  </si>
  <si>
    <t>m²</t>
  </si>
  <si>
    <t>Ehitusmaksumus m² kohta</t>
  </si>
  <si>
    <t>€/m²/aasta</t>
  </si>
  <si>
    <t>Indekseerimine</t>
  </si>
  <si>
    <t>Turul on tavapärane, et üürilepingute indekseerimine seotakse THI-ga</t>
  </si>
  <si>
    <t>Keskpanga poolne pikaajaline inflatsiooni prognoos on</t>
  </si>
  <si>
    <t>aastas</t>
  </si>
  <si>
    <t>Omanikukulude kasv seega</t>
  </si>
  <si>
    <t>aastas.</t>
  </si>
  <si>
    <t>Sarnaste varade puhul on müügikulu olnud</t>
  </si>
  <si>
    <t>Ümardatud turuväärtus</t>
  </si>
  <si>
    <t>Hinnatava vara müügiperiood on praeguses turusituatsioonis kuni 12 kuud.</t>
  </si>
  <si>
    <t>Hindamistulemuse täpsus on tavapärane ±10%.</t>
  </si>
  <si>
    <t>Omaniku info</t>
  </si>
  <si>
    <t>Lähtume turuinfost hindamisel</t>
  </si>
  <si>
    <t xml:space="preserve">A energiamärgisega hoonetel on intressimäär olnud 4,5%. </t>
  </si>
  <si>
    <t xml:space="preserve">Hiljuti üürimajadega toimunud tehingute puhul on pangalaenu osakaal olnud kuni 65% </t>
  </si>
  <si>
    <t>Kokku</t>
  </si>
  <si>
    <r>
      <t>€/SNPm</t>
    </r>
    <r>
      <rPr>
        <sz val="11"/>
        <color theme="1"/>
        <rFont val="Calibri"/>
        <family val="2"/>
        <charset val="186"/>
      </rPr>
      <t>²</t>
    </r>
  </si>
  <si>
    <r>
      <t>Hinnatava vara turuväärtus väärtuse kuupäeva seisuga on 137 000 € (394 €/m</t>
    </r>
    <r>
      <rPr>
        <sz val="11"/>
        <color theme="1"/>
        <rFont val="Calibri"/>
        <family val="2"/>
        <charset val="186"/>
      </rPr>
      <t>²</t>
    </r>
    <r>
      <rPr>
        <sz val="11"/>
        <color theme="1"/>
        <rFont val="Arial"/>
        <family val="2"/>
        <charset val="186"/>
      </rPr>
      <t>). Leitud turuväärtus ei sisalda käibemaksu.</t>
    </r>
  </si>
  <si>
    <t>Omanikukulud on kasvanud senini tempos 3% aastas ning turuosalised ootavad, et see aeglustub järgmisest aastast ja on edaspidi poole protsendipunkti võrra madalam.</t>
  </si>
  <si>
    <t>Prognoositakse lähtuvalt turul põhinevast kogemusest sarnaste varadega, et esimesel aastal peale hoone valmimist on hoones vakantsus 15%, mis hõlmab endas ka tavapärast pikaajalist vakantsust.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</si>
</sst>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7" formatCode="#,##0_ ;[Red]\-#,##0\ 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left" vertical="center"/>
    </xf>
    <xf numFmtId="3" fontId="1" fillId="2" borderId="0" xfId="0" applyNumberFormat="1" applyFont="1" applyFill="1"/>
    <xf numFmtId="3" fontId="1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6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3" fontId="1" fillId="0" borderId="0" xfId="0" applyNumberFormat="1" applyFont="1" applyFill="1"/>
    <xf numFmtId="2" fontId="1" fillId="0" borderId="0" xfId="0" applyNumberFormat="1" applyFont="1" applyFill="1"/>
    <xf numFmtId="167" fontId="1" fillId="0" borderId="0" xfId="0" applyNumberFormat="1" applyFont="1"/>
    <xf numFmtId="0" fontId="1" fillId="0" borderId="0" xfId="0" applyFont="1" applyFill="1"/>
    <xf numFmtId="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workbookViewId="0">
      <selection activeCell="G11" sqref="G11"/>
    </sheetView>
  </sheetViews>
  <sheetFormatPr defaultRowHeight="14.25" x14ac:dyDescent="0.2"/>
  <cols>
    <col min="1" max="1" width="37.85546875" style="3" customWidth="1"/>
    <col min="2" max="2" width="20.28515625" style="3" customWidth="1"/>
    <col min="3" max="3" width="26.5703125" style="3" bestFit="1" customWidth="1"/>
    <col min="4" max="4" width="29.42578125" style="3" bestFit="1" customWidth="1"/>
    <col min="5" max="6" width="9.140625" style="3"/>
    <col min="7" max="7" width="27.140625" style="3" customWidth="1"/>
    <col min="8" max="8" width="23" style="3" customWidth="1"/>
    <col min="9" max="9" width="23.85546875" style="3" bestFit="1" customWidth="1"/>
    <col min="10" max="10" width="11" style="3" bestFit="1" customWidth="1"/>
    <col min="11" max="11" width="19.140625" style="3" bestFit="1" customWidth="1"/>
    <col min="12" max="12" width="13.7109375" style="3" customWidth="1"/>
    <col min="13" max="13" width="9.140625" style="3"/>
    <col min="14" max="14" width="17.7109375" style="3" customWidth="1"/>
    <col min="15" max="17" width="9.140625" style="3"/>
    <col min="18" max="18" width="13.42578125" style="3" customWidth="1"/>
    <col min="19" max="16384" width="9.140625" style="3"/>
  </cols>
  <sheetData>
    <row r="1" spans="1:20" ht="15" x14ac:dyDescent="0.25">
      <c r="A1" s="3" t="s">
        <v>0</v>
      </c>
      <c r="B1" s="3">
        <v>350</v>
      </c>
      <c r="C1" s="3" t="s">
        <v>57</v>
      </c>
      <c r="G1" s="1" t="s">
        <v>18</v>
      </c>
    </row>
    <row r="2" spans="1:20" x14ac:dyDescent="0.2">
      <c r="A2" s="3" t="s">
        <v>1</v>
      </c>
      <c r="B2" s="3">
        <v>7</v>
      </c>
      <c r="G2" s="3" t="s">
        <v>2</v>
      </c>
      <c r="K2" s="3" t="s">
        <v>4</v>
      </c>
      <c r="M2" s="3" t="s">
        <v>22</v>
      </c>
    </row>
    <row r="3" spans="1:20" x14ac:dyDescent="0.2">
      <c r="A3" s="3" t="s">
        <v>2</v>
      </c>
      <c r="B3" s="3" t="s">
        <v>5</v>
      </c>
      <c r="G3" s="3" t="s">
        <v>3</v>
      </c>
      <c r="H3" s="3">
        <v>4</v>
      </c>
      <c r="I3" s="3" t="s">
        <v>23</v>
      </c>
      <c r="K3" s="3" t="s">
        <v>24</v>
      </c>
      <c r="L3" s="3">
        <v>2</v>
      </c>
      <c r="M3" s="3" t="s">
        <v>23</v>
      </c>
    </row>
    <row r="4" spans="1:20" ht="15" x14ac:dyDescent="0.25">
      <c r="A4" s="3" t="s">
        <v>4</v>
      </c>
      <c r="B4" s="3" t="s">
        <v>6</v>
      </c>
      <c r="G4" s="3" t="s">
        <v>19</v>
      </c>
      <c r="H4" s="3" t="s">
        <v>21</v>
      </c>
      <c r="K4" s="3" t="s">
        <v>25</v>
      </c>
      <c r="L4" s="3">
        <v>1</v>
      </c>
      <c r="M4" s="3" t="s">
        <v>23</v>
      </c>
      <c r="N4" s="1" t="s">
        <v>60</v>
      </c>
    </row>
    <row r="5" spans="1:20" x14ac:dyDescent="0.2">
      <c r="A5" s="3" t="s">
        <v>26</v>
      </c>
      <c r="B5" s="3" t="s">
        <v>27</v>
      </c>
      <c r="F5" s="3" t="s">
        <v>3</v>
      </c>
      <c r="G5" s="3" t="s">
        <v>20</v>
      </c>
      <c r="H5" s="3">
        <v>350</v>
      </c>
      <c r="I5" s="3" t="s">
        <v>51</v>
      </c>
      <c r="K5" s="3" t="s">
        <v>19</v>
      </c>
      <c r="L5" s="3" t="s">
        <v>21</v>
      </c>
      <c r="N5" s="3" t="s">
        <v>61</v>
      </c>
    </row>
    <row r="6" spans="1:20" x14ac:dyDescent="0.2">
      <c r="J6" s="3" t="s">
        <v>24</v>
      </c>
      <c r="K6" s="3" t="s">
        <v>20</v>
      </c>
      <c r="L6" s="3">
        <v>450</v>
      </c>
      <c r="M6" s="3" t="s">
        <v>51</v>
      </c>
      <c r="N6" s="3" t="s">
        <v>62</v>
      </c>
      <c r="S6" s="6">
        <v>2.5000000000000001E-2</v>
      </c>
      <c r="T6" s="3" t="s">
        <v>63</v>
      </c>
    </row>
    <row r="7" spans="1:20" ht="15" x14ac:dyDescent="0.25">
      <c r="A7" s="1" t="s">
        <v>7</v>
      </c>
      <c r="J7" s="3" t="s">
        <v>25</v>
      </c>
      <c r="K7" s="3" t="s">
        <v>20</v>
      </c>
      <c r="L7" s="3">
        <v>520</v>
      </c>
      <c r="M7" s="3" t="s">
        <v>51</v>
      </c>
    </row>
    <row r="8" spans="1:20" x14ac:dyDescent="0.2">
      <c r="A8" s="3" t="s">
        <v>8</v>
      </c>
      <c r="B8" s="3" t="s">
        <v>9</v>
      </c>
      <c r="C8" s="3" t="s">
        <v>10</v>
      </c>
    </row>
    <row r="9" spans="1:20" ht="15" x14ac:dyDescent="0.25">
      <c r="A9" s="3" t="s">
        <v>11</v>
      </c>
      <c r="B9" s="9">
        <v>1050000</v>
      </c>
      <c r="C9" s="4">
        <v>1320</v>
      </c>
      <c r="G9" s="1" t="s">
        <v>28</v>
      </c>
    </row>
    <row r="10" spans="1:20" x14ac:dyDescent="0.2">
      <c r="A10" s="3" t="s">
        <v>12</v>
      </c>
      <c r="B10" s="9">
        <v>620000</v>
      </c>
      <c r="C10" s="4">
        <v>1600</v>
      </c>
      <c r="G10" s="3" t="s">
        <v>52</v>
      </c>
      <c r="J10" s="5">
        <v>1</v>
      </c>
    </row>
    <row r="11" spans="1:20" x14ac:dyDescent="0.2">
      <c r="A11" s="2" t="s">
        <v>13</v>
      </c>
      <c r="B11" s="10">
        <v>320000</v>
      </c>
      <c r="C11" s="8">
        <v>600</v>
      </c>
      <c r="D11" s="3" t="s">
        <v>15</v>
      </c>
      <c r="G11" s="17" t="s">
        <v>78</v>
      </c>
      <c r="H11" s="17"/>
      <c r="I11" s="17"/>
      <c r="J11" s="17"/>
      <c r="K11" s="17"/>
      <c r="L11" s="17"/>
      <c r="M11" s="17"/>
      <c r="N11" s="17"/>
      <c r="S11" s="18">
        <v>0.15</v>
      </c>
    </row>
    <row r="12" spans="1:20" x14ac:dyDescent="0.2">
      <c r="A12" s="3" t="s">
        <v>14</v>
      </c>
      <c r="B12" s="9">
        <v>3750000</v>
      </c>
      <c r="C12" s="4">
        <v>4000</v>
      </c>
      <c r="G12" s="3" t="s">
        <v>29</v>
      </c>
      <c r="M12" s="5">
        <v>0.05</v>
      </c>
    </row>
    <row r="13" spans="1:20" x14ac:dyDescent="0.2">
      <c r="B13" s="3" t="s">
        <v>70</v>
      </c>
    </row>
    <row r="14" spans="1:20" ht="15" x14ac:dyDescent="0.25">
      <c r="A14" s="3" t="s">
        <v>58</v>
      </c>
      <c r="B14" s="12">
        <f>B15/B1</f>
        <v>-285.71428571428572</v>
      </c>
      <c r="C14" s="4">
        <f>B11/C11</f>
        <v>533.33333333333337</v>
      </c>
      <c r="G14" s="1" t="s">
        <v>30</v>
      </c>
      <c r="L14" s="1" t="s">
        <v>37</v>
      </c>
    </row>
    <row r="15" spans="1:20" ht="15" x14ac:dyDescent="0.25">
      <c r="A15" s="3" t="s">
        <v>16</v>
      </c>
      <c r="B15" s="4">
        <v>-100000</v>
      </c>
      <c r="C15" s="4">
        <f>-C14*B1</f>
        <v>-186666.66666666669</v>
      </c>
      <c r="D15" s="3" t="s">
        <v>71</v>
      </c>
      <c r="G15" s="3" t="s">
        <v>31</v>
      </c>
      <c r="H15" s="3" t="s">
        <v>32</v>
      </c>
      <c r="I15" s="3" t="s">
        <v>33</v>
      </c>
      <c r="J15" s="3" t="s">
        <v>59</v>
      </c>
      <c r="L15" s="1" t="s">
        <v>38</v>
      </c>
      <c r="M15" s="13" t="s">
        <v>73</v>
      </c>
    </row>
    <row r="16" spans="1:20" x14ac:dyDescent="0.2">
      <c r="A16" s="3" t="s">
        <v>17</v>
      </c>
      <c r="G16" s="3">
        <v>1</v>
      </c>
      <c r="H16" s="3">
        <v>300</v>
      </c>
      <c r="I16" s="4">
        <v>8640</v>
      </c>
      <c r="J16" s="3">
        <f>I16/H16</f>
        <v>28.8</v>
      </c>
      <c r="M16" s="3" t="s">
        <v>42</v>
      </c>
      <c r="N16" s="3" t="s">
        <v>43</v>
      </c>
    </row>
    <row r="17" spans="1:15" x14ac:dyDescent="0.2">
      <c r="G17" s="3">
        <v>2</v>
      </c>
      <c r="H17" s="3">
        <v>800</v>
      </c>
      <c r="I17" s="4">
        <v>17280</v>
      </c>
      <c r="J17" s="3">
        <f t="shared" ref="J17:J20" si="0">I17/H17</f>
        <v>21.6</v>
      </c>
      <c r="L17" s="3" t="s">
        <v>40</v>
      </c>
      <c r="M17" s="5">
        <v>0.65</v>
      </c>
      <c r="N17" s="6">
        <v>4.4999999999999998E-2</v>
      </c>
      <c r="O17" s="13" t="s">
        <v>72</v>
      </c>
    </row>
    <row r="18" spans="1:15" x14ac:dyDescent="0.2">
      <c r="G18" s="3">
        <v>3</v>
      </c>
      <c r="H18" s="3">
        <v>225</v>
      </c>
      <c r="I18" s="4">
        <v>5670</v>
      </c>
      <c r="J18" s="3">
        <f t="shared" si="0"/>
        <v>25.2</v>
      </c>
      <c r="L18" s="3" t="s">
        <v>41</v>
      </c>
      <c r="M18" s="5">
        <f>1-M17</f>
        <v>0.35</v>
      </c>
      <c r="N18" s="5">
        <v>0.15</v>
      </c>
      <c r="O18" s="3" t="s">
        <v>44</v>
      </c>
    </row>
    <row r="19" spans="1:15" x14ac:dyDescent="0.2">
      <c r="G19" s="3">
        <v>4</v>
      </c>
      <c r="H19" s="3">
        <v>490</v>
      </c>
      <c r="I19" s="4">
        <v>9408</v>
      </c>
      <c r="J19" s="3">
        <f t="shared" si="0"/>
        <v>19.2</v>
      </c>
      <c r="L19" s="3" t="s">
        <v>39</v>
      </c>
      <c r="M19" s="6">
        <f>(M17*N17)+(M18*N18)</f>
        <v>8.1749999999999989E-2</v>
      </c>
    </row>
    <row r="20" spans="1:15" ht="15" x14ac:dyDescent="0.25">
      <c r="G20" s="3">
        <v>5</v>
      </c>
      <c r="H20" s="3">
        <v>620</v>
      </c>
      <c r="I20" s="4">
        <v>20832</v>
      </c>
      <c r="J20" s="3">
        <f t="shared" si="0"/>
        <v>33.6</v>
      </c>
      <c r="L20" s="1" t="s">
        <v>45</v>
      </c>
    </row>
    <row r="21" spans="1:15" ht="15" x14ac:dyDescent="0.25">
      <c r="G21" s="3" t="s">
        <v>74</v>
      </c>
      <c r="H21" s="14">
        <f>SUM(H16:H20)</f>
        <v>2435</v>
      </c>
      <c r="I21" s="14">
        <f>SUM(I16:I20)</f>
        <v>61830</v>
      </c>
      <c r="L21" s="1"/>
    </row>
    <row r="22" spans="1:15" x14ac:dyDescent="0.2">
      <c r="I22" s="3" t="s">
        <v>34</v>
      </c>
      <c r="J22" s="15">
        <f>I21/H21</f>
        <v>25.392197125256672</v>
      </c>
      <c r="K22" s="3" t="s">
        <v>59</v>
      </c>
      <c r="L22" s="3" t="s">
        <v>46</v>
      </c>
    </row>
    <row r="23" spans="1:15" x14ac:dyDescent="0.2">
      <c r="G23" s="3" t="s">
        <v>35</v>
      </c>
      <c r="H23" s="7"/>
      <c r="L23" s="6">
        <f>M19-1%</f>
        <v>7.1749999999999994E-2</v>
      </c>
    </row>
    <row r="24" spans="1:15" x14ac:dyDescent="0.2">
      <c r="G24" s="3" t="s">
        <v>36</v>
      </c>
      <c r="L24" s="3" t="s">
        <v>66</v>
      </c>
      <c r="O24" s="5">
        <v>0.02</v>
      </c>
    </row>
    <row r="25" spans="1:15" x14ac:dyDescent="0.2">
      <c r="G25" s="3" t="s">
        <v>77</v>
      </c>
      <c r="L25" s="6"/>
    </row>
    <row r="26" spans="1:15" x14ac:dyDescent="0.2">
      <c r="G26" s="3" t="s">
        <v>64</v>
      </c>
      <c r="H26" s="6">
        <v>2.5000000000000001E-2</v>
      </c>
      <c r="I26" s="3" t="s">
        <v>65</v>
      </c>
      <c r="L26" s="6"/>
    </row>
    <row r="27" spans="1:15" x14ac:dyDescent="0.2">
      <c r="L27" s="6"/>
    </row>
    <row r="28" spans="1:15" x14ac:dyDescent="0.2">
      <c r="B28" s="3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</row>
    <row r="29" spans="1:15" x14ac:dyDescent="0.2">
      <c r="A29" s="3" t="s">
        <v>18</v>
      </c>
      <c r="B29" s="4">
        <f>((H5*H3)+(L6*L3)+(L7*L4))*12</f>
        <v>33840</v>
      </c>
      <c r="C29" s="4">
        <f>B29*(1+$S$6)</f>
        <v>34686</v>
      </c>
      <c r="D29" s="4">
        <f t="shared" ref="D29:G29" si="1">C29*(1+$S$6)</f>
        <v>35553.149999999994</v>
      </c>
      <c r="E29" s="4">
        <f t="shared" si="1"/>
        <v>36441.978749999987</v>
      </c>
      <c r="F29" s="4">
        <f t="shared" si="1"/>
        <v>37353.028218749983</v>
      </c>
      <c r="G29" s="4">
        <f t="shared" si="1"/>
        <v>38286.853924218733</v>
      </c>
    </row>
    <row r="30" spans="1:15" x14ac:dyDescent="0.2">
      <c r="A30" s="3" t="s">
        <v>28</v>
      </c>
      <c r="B30" s="4">
        <f>B29*-J10</f>
        <v>-33840</v>
      </c>
      <c r="C30" s="4">
        <f>C29*-S11</f>
        <v>-5202.8999999999996</v>
      </c>
      <c r="D30" s="4">
        <f>D29*-$M$12</f>
        <v>-1777.6574999999998</v>
      </c>
      <c r="E30" s="4">
        <f>E29*-$M$12</f>
        <v>-1822.0989374999995</v>
      </c>
      <c r="F30" s="4">
        <f>F29*-$M$12</f>
        <v>-1867.6514109374993</v>
      </c>
      <c r="G30" s="4">
        <f>G29*-$M$12</f>
        <v>-1914.3426962109368</v>
      </c>
    </row>
    <row r="31" spans="1:15" x14ac:dyDescent="0.2">
      <c r="A31" s="3" t="s">
        <v>47</v>
      </c>
      <c r="B31" s="4">
        <f t="shared" ref="B31:G31" si="2">SUM(B29:B30)</f>
        <v>0</v>
      </c>
      <c r="C31" s="4">
        <f t="shared" si="2"/>
        <v>29483.1</v>
      </c>
      <c r="D31" s="4">
        <f t="shared" si="2"/>
        <v>33775.492499999993</v>
      </c>
      <c r="E31" s="4">
        <f t="shared" si="2"/>
        <v>34619.879812499988</v>
      </c>
      <c r="F31" s="4">
        <f t="shared" si="2"/>
        <v>35485.376807812485</v>
      </c>
      <c r="G31" s="4">
        <f t="shared" si="2"/>
        <v>36372.511228007796</v>
      </c>
    </row>
    <row r="32" spans="1:15" x14ac:dyDescent="0.2">
      <c r="A32" s="3" t="s">
        <v>48</v>
      </c>
      <c r="B32" s="4">
        <f>B1*-$J$22/2</f>
        <v>-4443.6344969199172</v>
      </c>
      <c r="C32" s="4">
        <f>B1*-$J$22*(1+H26)</f>
        <v>-9109.45071868583</v>
      </c>
      <c r="D32" s="4">
        <f>C32*(1+$H$26)</f>
        <v>-9337.1869866529742</v>
      </c>
      <c r="E32" s="4">
        <f>D32*(1+$H$26)</f>
        <v>-9570.6166613192981</v>
      </c>
      <c r="F32" s="4">
        <f>E32*(1+$H$26)</f>
        <v>-9809.8820778522804</v>
      </c>
      <c r="G32" s="4">
        <f>F32*(1+$H$26)</f>
        <v>-10055.129129798586</v>
      </c>
    </row>
    <row r="33" spans="1:7" x14ac:dyDescent="0.2">
      <c r="A33" s="3" t="s">
        <v>49</v>
      </c>
      <c r="B33" s="4">
        <f t="shared" ref="B33:G33" si="3">SUM(B31:B32)</f>
        <v>-4443.6344969199172</v>
      </c>
      <c r="C33" s="4">
        <f t="shared" si="3"/>
        <v>20373.649281314167</v>
      </c>
      <c r="D33" s="4">
        <f t="shared" si="3"/>
        <v>24438.305513347019</v>
      </c>
      <c r="E33" s="4">
        <f t="shared" si="3"/>
        <v>25049.26315118069</v>
      </c>
      <c r="F33" s="4">
        <f t="shared" si="3"/>
        <v>25675.494729960206</v>
      </c>
      <c r="G33" s="4">
        <f t="shared" si="3"/>
        <v>26317.382098209207</v>
      </c>
    </row>
    <row r="34" spans="1:7" x14ac:dyDescent="0.2">
      <c r="A34" s="3" t="s">
        <v>50</v>
      </c>
      <c r="B34" s="4">
        <f>C15</f>
        <v>-186666.66666666669</v>
      </c>
      <c r="C34" s="4"/>
      <c r="D34" s="4"/>
      <c r="E34" s="4"/>
      <c r="F34" s="4"/>
    </row>
    <row r="35" spans="1:7" x14ac:dyDescent="0.2">
      <c r="A35" s="3" t="s">
        <v>53</v>
      </c>
      <c r="F35" s="4">
        <f>G33/L23</f>
        <v>366792.78185657435</v>
      </c>
    </row>
    <row r="36" spans="1:7" x14ac:dyDescent="0.2">
      <c r="A36" s="3" t="s">
        <v>54</v>
      </c>
      <c r="F36" s="4">
        <f>F35*-$O$24</f>
        <v>-7335.8556371314871</v>
      </c>
    </row>
    <row r="37" spans="1:7" x14ac:dyDescent="0.2">
      <c r="A37" s="3" t="s">
        <v>55</v>
      </c>
      <c r="B37" s="4">
        <f>SUM(B33:B36)</f>
        <v>-191110.30116358661</v>
      </c>
      <c r="C37" s="4">
        <f>SUM(C33:C36)</f>
        <v>20373.649281314167</v>
      </c>
      <c r="D37" s="4">
        <f>SUM(D33:D36)</f>
        <v>24438.305513347019</v>
      </c>
      <c r="E37" s="4">
        <f>SUM(E33:E36)</f>
        <v>25049.26315118069</v>
      </c>
      <c r="F37" s="4">
        <f>SUM(F33:F36)</f>
        <v>385132.42094940308</v>
      </c>
    </row>
    <row r="38" spans="1:7" x14ac:dyDescent="0.2">
      <c r="A38" s="2" t="s">
        <v>56</v>
      </c>
      <c r="B38" s="11">
        <f>NPV(M19,B37:F37)</f>
        <v>138343.27614721566</v>
      </c>
    </row>
    <row r="39" spans="1:7" x14ac:dyDescent="0.2">
      <c r="A39" s="3" t="s">
        <v>67</v>
      </c>
      <c r="B39" s="11">
        <f>ROUND(B38,-3)</f>
        <v>138000</v>
      </c>
    </row>
    <row r="40" spans="1:7" ht="15" x14ac:dyDescent="0.25">
      <c r="A40" s="3" t="s">
        <v>75</v>
      </c>
      <c r="B40" s="16">
        <f>B39/B1</f>
        <v>394.28571428571428</v>
      </c>
    </row>
    <row r="41" spans="1:7" ht="15" x14ac:dyDescent="0.25">
      <c r="A41" s="3" t="s">
        <v>76</v>
      </c>
    </row>
    <row r="42" spans="1:7" x14ac:dyDescent="0.2">
      <c r="A42" s="3" t="s">
        <v>68</v>
      </c>
    </row>
    <row r="43" spans="1:7" x14ac:dyDescent="0.2">
      <c r="A43" s="3" t="s">
        <v>69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Hartti Tomson</dc:creator>
  <cp:lastModifiedBy>Hartti Tomson</cp:lastModifiedBy>
  <dcterms:created xsi:type="dcterms:W3CDTF">2023-10-15T14:04:13Z</dcterms:created>
  <dcterms:modified xsi:type="dcterms:W3CDTF">2023-10-25T10:36:43Z</dcterms:modified>
</cp:coreProperties>
</file>