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nisvarahindajateuhing-my.sharepoint.com/personal/ekhy_ekhy_ee/Documents/Documents/Kutse andmine/Kutseeksam sygis 2020/New folder/"/>
    </mc:Choice>
  </mc:AlternateContent>
  <xr:revisionPtr revIDLastSave="8" documentId="11_ACF5B61CBD7DD7D3D594367D94070552C705B87D" xr6:coauthVersionLast="47" xr6:coauthVersionMax="47" xr10:uidLastSave="{621D7DFA-28B3-4B1E-812D-00F1D8F48FBB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E42" i="1"/>
  <c r="F37" i="1"/>
  <c r="G19" i="1"/>
  <c r="B49" i="1"/>
  <c r="J36" i="1" l="1"/>
  <c r="J29" i="1"/>
  <c r="J28" i="1"/>
  <c r="B52" i="1"/>
  <c r="B50" i="1"/>
  <c r="J34" i="1" s="1"/>
  <c r="J33" i="1"/>
  <c r="B37" i="1"/>
  <c r="B46" i="1" s="1"/>
  <c r="B41" i="1"/>
  <c r="B36" i="1"/>
  <c r="B35" i="1"/>
  <c r="B44" i="1" s="1"/>
  <c r="C34" i="1"/>
  <c r="C43" i="1" s="1"/>
  <c r="D34" i="1"/>
  <c r="D43" i="1" s="1"/>
  <c r="E34" i="1"/>
  <c r="E43" i="1" s="1"/>
  <c r="B34" i="1"/>
  <c r="B43" i="1" s="1"/>
  <c r="B33" i="1"/>
  <c r="C31" i="1"/>
  <c r="C40" i="1" s="1"/>
  <c r="D31" i="1"/>
  <c r="D40" i="1" s="1"/>
  <c r="B31" i="1"/>
  <c r="B40" i="1" s="1"/>
  <c r="J31" i="1" l="1"/>
  <c r="B38" i="1"/>
  <c r="B42" i="1"/>
  <c r="B47" i="1" s="1"/>
  <c r="B45" i="1"/>
  <c r="B48" i="1" l="1"/>
  <c r="J30" i="1" l="1"/>
  <c r="C25" i="1"/>
  <c r="D25" i="1"/>
  <c r="E25" i="1"/>
  <c r="F25" i="1"/>
  <c r="B25" i="1"/>
  <c r="C37" i="1" s="1"/>
  <c r="J32" i="1" l="1"/>
  <c r="J35" i="1" s="1"/>
  <c r="J37" i="1" s="1"/>
  <c r="C32" i="1"/>
  <c r="C33" i="1"/>
  <c r="C26" i="1"/>
  <c r="D26" i="1" s="1"/>
  <c r="C35" i="1"/>
  <c r="C36" i="1"/>
  <c r="C49" i="1"/>
  <c r="D49" i="1" s="1"/>
  <c r="E49" i="1" s="1"/>
  <c r="F49" i="1" s="1"/>
  <c r="G49" i="1" s="1"/>
  <c r="C50" i="1"/>
  <c r="D50" i="1" s="1"/>
  <c r="E50" i="1" s="1"/>
  <c r="F50" i="1" s="1"/>
  <c r="G50" i="1" s="1"/>
  <c r="K7" i="1"/>
  <c r="K6" i="1"/>
  <c r="J38" i="1" l="1"/>
  <c r="E31" i="1"/>
  <c r="E26" i="1"/>
  <c r="D33" i="1"/>
  <c r="C42" i="1"/>
  <c r="C45" i="1"/>
  <c r="D36" i="1"/>
  <c r="C41" i="1"/>
  <c r="C47" i="1" s="1"/>
  <c r="D32" i="1"/>
  <c r="C38" i="1"/>
  <c r="C44" i="1"/>
  <c r="D35" i="1"/>
  <c r="D37" i="1"/>
  <c r="C46" i="1"/>
  <c r="B51" i="1"/>
  <c r="B53" i="1" s="1"/>
  <c r="K8" i="1"/>
  <c r="B62" i="1" s="1"/>
  <c r="C62" i="1" s="1"/>
  <c r="D62" i="1" s="1"/>
  <c r="E62" i="1" s="1"/>
  <c r="F62" i="1" s="1"/>
  <c r="B57" i="1" l="1"/>
  <c r="E35" i="1"/>
  <c r="D44" i="1"/>
  <c r="E33" i="1"/>
  <c r="D42" i="1"/>
  <c r="E37" i="1"/>
  <c r="D46" i="1"/>
  <c r="D41" i="1"/>
  <c r="D47" i="1" s="1"/>
  <c r="E32" i="1"/>
  <c r="D38" i="1"/>
  <c r="D45" i="1"/>
  <c r="E36" i="1"/>
  <c r="F34" i="1"/>
  <c r="F26" i="1"/>
  <c r="C48" i="1"/>
  <c r="C51" i="1" s="1"/>
  <c r="C53" i="1" s="1"/>
  <c r="F31" i="1"/>
  <c r="E40" i="1"/>
  <c r="C57" i="1" l="1"/>
  <c r="E38" i="1"/>
  <c r="F43" i="1"/>
  <c r="G34" i="1"/>
  <c r="G43" i="1" s="1"/>
  <c r="F40" i="1"/>
  <c r="G31" i="1"/>
  <c r="F33" i="1"/>
  <c r="E41" i="1"/>
  <c r="F32" i="1"/>
  <c r="F36" i="1"/>
  <c r="E45" i="1"/>
  <c r="D48" i="1"/>
  <c r="D51" i="1" s="1"/>
  <c r="E46" i="1"/>
  <c r="F35" i="1"/>
  <c r="E44" i="1"/>
  <c r="E47" i="1" l="1"/>
  <c r="D53" i="1"/>
  <c r="E48" i="1"/>
  <c r="E51" i="1" s="1"/>
  <c r="E53" i="1" s="1"/>
  <c r="G40" i="1"/>
  <c r="G35" i="1"/>
  <c r="G44" i="1" s="1"/>
  <c r="F44" i="1"/>
  <c r="F38" i="1"/>
  <c r="G36" i="1"/>
  <c r="G45" i="1" s="1"/>
  <c r="F45" i="1"/>
  <c r="G37" i="1"/>
  <c r="G46" i="1" s="1"/>
  <c r="F46" i="1"/>
  <c r="G32" i="1"/>
  <c r="G41" i="1" s="1"/>
  <c r="F41" i="1"/>
  <c r="G33" i="1"/>
  <c r="F47" i="1" l="1"/>
  <c r="G47" i="1"/>
  <c r="D57" i="1"/>
  <c r="E57" i="1"/>
  <c r="F48" i="1"/>
  <c r="F51" i="1" s="1"/>
  <c r="G38" i="1"/>
  <c r="G48" i="1" s="1"/>
  <c r="G51" i="1" s="1"/>
  <c r="G53" i="1" s="1"/>
  <c r="F54" i="1" s="1"/>
  <c r="F55" i="1" l="1"/>
  <c r="F56" i="1" l="1"/>
  <c r="F53" i="1" s="1"/>
  <c r="F57" i="1" l="1"/>
  <c r="B59" i="1"/>
  <c r="B58" i="1"/>
  <c r="B60" i="1" s="1"/>
</calcChain>
</file>

<file path=xl/sharedStrings.xml><?xml version="1.0" encoding="utf-8"?>
<sst xmlns="http://schemas.openxmlformats.org/spreadsheetml/2006/main" count="83" uniqueCount="62">
  <si>
    <t>Korterite arv</t>
  </si>
  <si>
    <t>Seisukord</t>
  </si>
  <si>
    <t>Hea</t>
  </si>
  <si>
    <t>Keskmine</t>
  </si>
  <si>
    <t>Halb</t>
  </si>
  <si>
    <t>SNP</t>
  </si>
  <si>
    <t>Tegelik</t>
  </si>
  <si>
    <t>WACC</t>
  </si>
  <si>
    <t>Omakapital</t>
  </si>
  <si>
    <t>Võõrkapital</t>
  </si>
  <si>
    <t>Osakaaal</t>
  </si>
  <si>
    <t xml:space="preserve">Kapitali hind </t>
  </si>
  <si>
    <t>Periood</t>
  </si>
  <si>
    <t>Vakantsus</t>
  </si>
  <si>
    <t>Tegevuskulud</t>
  </si>
  <si>
    <t>Kapitalikulud</t>
  </si>
  <si>
    <t>Kokku</t>
  </si>
  <si>
    <t>Efektiivne kogutulu</t>
  </si>
  <si>
    <t>Halvas seisukorras korteri renoveerimine</t>
  </si>
  <si>
    <t>Puhas tegevustulu</t>
  </si>
  <si>
    <t>1. aastal</t>
  </si>
  <si>
    <t>Inflatsioon</t>
  </si>
  <si>
    <t>Lõpetav väärtus</t>
  </si>
  <si>
    <t>Müügikulud, 2%</t>
  </si>
  <si>
    <t>Diskontomäär</t>
  </si>
  <si>
    <t>Diskonteerimistegur</t>
  </si>
  <si>
    <t>Turuväärtus</t>
  </si>
  <si>
    <t>Diskonteeritud rahavoogude meetod</t>
  </si>
  <si>
    <t>Lihtkapitaliseerimismeetod</t>
  </si>
  <si>
    <t>6. aastal</t>
  </si>
  <si>
    <t>Kapitalisatsioonimäär</t>
  </si>
  <si>
    <t>Hoone suletud netopinnale taandatuna</t>
  </si>
  <si>
    <t>Turg</t>
  </si>
  <si>
    <t>Lähteandmed</t>
  </si>
  <si>
    <t>Hoone andmed</t>
  </si>
  <si>
    <t>Aasta</t>
  </si>
  <si>
    <t>Rahavoog</t>
  </si>
  <si>
    <t>Diskonteeritud rahavoog</t>
  </si>
  <si>
    <t>Äripind</t>
  </si>
  <si>
    <r>
      <t>Äripind, m</t>
    </r>
    <r>
      <rPr>
        <sz val="11"/>
        <color theme="1"/>
        <rFont val="Calibri"/>
        <family val="2"/>
        <charset val="186"/>
      </rPr>
      <t>²</t>
    </r>
  </si>
  <si>
    <t>Korter nr</t>
  </si>
  <si>
    <r>
      <t>10 €/m</t>
    </r>
    <r>
      <rPr>
        <sz val="11"/>
        <color theme="1"/>
        <rFont val="Calibri"/>
        <family val="2"/>
        <charset val="186"/>
      </rPr>
      <t>²</t>
    </r>
  </si>
  <si>
    <t>Tubade arv</t>
  </si>
  <si>
    <r>
      <t>12 €/m</t>
    </r>
    <r>
      <rPr>
        <sz val="11"/>
        <color theme="1"/>
        <rFont val="Calibri"/>
        <family val="2"/>
        <charset val="186"/>
      </rPr>
      <t>²</t>
    </r>
  </si>
  <si>
    <t>Turuüür, €/kuu</t>
  </si>
  <si>
    <t>Üüri lepingu pikkus</t>
  </si>
  <si>
    <r>
      <t>125 m</t>
    </r>
    <r>
      <rPr>
        <sz val="11"/>
        <color theme="1"/>
        <rFont val="Calibri"/>
        <family val="2"/>
        <charset val="186"/>
      </rPr>
      <t>²</t>
    </r>
  </si>
  <si>
    <t>Potentsiaalne kogutulu korterite lõikes</t>
  </si>
  <si>
    <t>Vakants</t>
  </si>
  <si>
    <t>Turuinfole tuginedes on vakantsus sarnaste korteritel 5% ja äripindadel 10%. Äripindadel kulub uue üürniku leidmiseks turul tavapäraselt 6 kuud ja korteritel 3 kuud.</t>
  </si>
  <si>
    <t>Korter</t>
  </si>
  <si>
    <r>
      <t>Turuinfole tuginedes on kapitalikulud sarnastel hoonetel 0,25 €/m</t>
    </r>
    <r>
      <rPr>
        <sz val="11"/>
        <color theme="1"/>
        <rFont val="Calibri"/>
        <family val="2"/>
        <charset val="186"/>
      </rPr>
      <t>²/kuu</t>
    </r>
  </si>
  <si>
    <t>Potentsiaalne kogutulu korterid</t>
  </si>
  <si>
    <t>Potentsiaalne kogutulu äripind</t>
  </si>
  <si>
    <t>Vakantsus, 5% ja 10%</t>
  </si>
  <si>
    <t>Turuväärtus (NPV valemiga)</t>
  </si>
  <si>
    <t>Lõpetav väärtus miinus müügikulud</t>
  </si>
  <si>
    <r>
      <t>Tegelikud tegevuskulud on omaniku andmetel 3 500 € aastas ehk 6,36 €/m</t>
    </r>
    <r>
      <rPr>
        <sz val="11"/>
        <color theme="1"/>
        <rFont val="Calibri"/>
        <family val="2"/>
        <charset val="186"/>
      </rPr>
      <t>²/aasta. Turuinfole tuginedes on turutasemel vastavad tegevuskulud 0,35 €/m²/aasta. Arvutustes lähtume turutasemest.</t>
    </r>
  </si>
  <si>
    <t>Hinnatava vara turuväärtus on väärtuse kuupäeva seisuga lihtkapitaliseerimis meetodil 392 000 €. Leitud turuväärtus ei sisalda käibemaksu.</t>
  </si>
  <si>
    <r>
      <t>Turuväärtus hoone suletud netopinnale taandatuna on 713 €/m</t>
    </r>
    <r>
      <rPr>
        <sz val="11"/>
        <color theme="1"/>
        <rFont val="Calibri"/>
        <family val="2"/>
        <charset val="186"/>
      </rPr>
      <t>².</t>
    </r>
  </si>
  <si>
    <t>Hinnatava vara turuväärtus on väärtuse kuupäeva seisuga diskonteeritud rahavoogude meetodil 397 000 €. Hinnatud turuväärtus ei sisalda käibemaksu.</t>
  </si>
  <si>
    <r>
      <t>Turuväärtus hoone suletud netopinnale taandatuna on 722 €/m</t>
    </r>
    <r>
      <rPr>
        <sz val="11"/>
        <color theme="1"/>
        <rFont val="Calibri"/>
        <family val="2"/>
        <charset val="186"/>
      </rPr>
      <t>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</si>
</sst>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%"/>
    <numFmt numFmtId="165" formatCode="0.000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2" fontId="0" fillId="0" borderId="1" xfId="0" applyNumberFormat="1" applyBorder="1"/>
    <xf numFmtId="10" fontId="0" fillId="0" borderId="1" xfId="0" applyNumberFormat="1" applyBorder="1"/>
    <xf numFmtId="0" fontId="0" fillId="0" borderId="1" xfId="1" applyNumberFormat="1" applyFont="1" applyBorder="1"/>
    <xf numFmtId="9" fontId="0" fillId="0" borderId="1" xfId="0" applyNumberFormat="1" applyBorder="1"/>
    <xf numFmtId="164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left" indent="1"/>
    </xf>
    <xf numFmtId="3" fontId="0" fillId="0" borderId="0" xfId="0" applyNumberFormat="1"/>
    <xf numFmtId="8" fontId="0" fillId="0" borderId="0" xfId="0" applyNumberFormat="1"/>
    <xf numFmtId="1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9" fontId="0" fillId="0" borderId="0" xfId="0" applyNumberFormat="1"/>
    <xf numFmtId="9" fontId="0" fillId="2" borderId="4" xfId="1" applyFont="1" applyFill="1" applyBorder="1" applyAlignment="1">
      <alignment wrapText="1"/>
    </xf>
    <xf numFmtId="9" fontId="0" fillId="2" borderId="5" xfId="1" applyFont="1" applyFill="1" applyBorder="1" applyAlignment="1">
      <alignment wrapText="1"/>
    </xf>
    <xf numFmtId="9" fontId="0" fillId="2" borderId="1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9" fontId="0" fillId="0" borderId="4" xfId="1" applyFont="1" applyBorder="1" applyAlignment="1">
      <alignment wrapText="1"/>
    </xf>
    <xf numFmtId="9" fontId="0" fillId="0" borderId="5" xfId="1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zoomScale="75" zoomScaleNormal="75" workbookViewId="0"/>
  </sheetViews>
  <sheetFormatPr defaultRowHeight="14.5" x14ac:dyDescent="0.35"/>
  <cols>
    <col min="1" max="1" width="50.54296875" bestFit="1" customWidth="1"/>
    <col min="2" max="2" width="19.26953125" bestFit="1" customWidth="1"/>
    <col min="3" max="3" width="24.54296875" bestFit="1" customWidth="1"/>
    <col min="4" max="4" width="40.1796875" customWidth="1"/>
    <col min="5" max="5" width="17.453125" bestFit="1" customWidth="1"/>
    <col min="6" max="6" width="40.7265625" bestFit="1" customWidth="1"/>
    <col min="8" max="8" width="20.453125" bestFit="1" customWidth="1"/>
    <col min="9" max="9" width="50.54296875" bestFit="1" customWidth="1"/>
    <col min="10" max="10" width="14.1796875" bestFit="1" customWidth="1"/>
    <col min="12" max="12" width="16.453125" bestFit="1" customWidth="1"/>
    <col min="14" max="14" width="13.453125" bestFit="1" customWidth="1"/>
    <col min="15" max="15" width="11.26953125" bestFit="1" customWidth="1"/>
    <col min="16" max="16" width="16.453125" bestFit="1" customWidth="1"/>
    <col min="17" max="17" width="13.453125" bestFit="1" customWidth="1"/>
    <col min="20" max="20" width="20.453125" bestFit="1" customWidth="1"/>
  </cols>
  <sheetData>
    <row r="1" spans="1:11" x14ac:dyDescent="0.35">
      <c r="A1" s="14" t="s">
        <v>34</v>
      </c>
      <c r="B1" s="14"/>
      <c r="I1" s="14" t="s">
        <v>30</v>
      </c>
      <c r="J1" s="14"/>
    </row>
    <row r="2" spans="1:11" x14ac:dyDescent="0.35">
      <c r="A2" s="1" t="s">
        <v>5</v>
      </c>
      <c r="B2" s="1">
        <v>550</v>
      </c>
      <c r="I2" s="1" t="s">
        <v>20</v>
      </c>
      <c r="J2" s="1" t="s">
        <v>29</v>
      </c>
    </row>
    <row r="3" spans="1:11" x14ac:dyDescent="0.35">
      <c r="A3" s="1" t="s">
        <v>0</v>
      </c>
      <c r="B3" s="1">
        <v>6</v>
      </c>
      <c r="H3" s="14" t="s">
        <v>30</v>
      </c>
      <c r="I3" s="8">
        <v>0.11</v>
      </c>
      <c r="J3" s="9">
        <v>0.1</v>
      </c>
    </row>
    <row r="4" spans="1:11" x14ac:dyDescent="0.35">
      <c r="A4" s="1" t="s">
        <v>39</v>
      </c>
      <c r="B4" s="1">
        <v>125</v>
      </c>
      <c r="J4" s="18"/>
    </row>
    <row r="5" spans="1:11" x14ac:dyDescent="0.35">
      <c r="A5" s="1"/>
      <c r="B5" s="13"/>
      <c r="H5" s="14" t="s">
        <v>7</v>
      </c>
      <c r="I5" s="14" t="s">
        <v>10</v>
      </c>
      <c r="J5" s="14" t="s">
        <v>11</v>
      </c>
      <c r="K5" s="14"/>
    </row>
    <row r="6" spans="1:11" x14ac:dyDescent="0.35">
      <c r="A6" s="14" t="s">
        <v>40</v>
      </c>
      <c r="B6" s="14" t="s">
        <v>1</v>
      </c>
      <c r="C6" s="14" t="s">
        <v>6</v>
      </c>
      <c r="D6" s="14" t="s">
        <v>42</v>
      </c>
      <c r="E6" s="14" t="s">
        <v>44</v>
      </c>
      <c r="F6" s="14" t="s">
        <v>45</v>
      </c>
      <c r="H6" s="1" t="s">
        <v>8</v>
      </c>
      <c r="I6" s="7">
        <v>0.5</v>
      </c>
      <c r="J6" s="7">
        <v>0.18</v>
      </c>
      <c r="K6" s="8">
        <f>I6*J6</f>
        <v>0.09</v>
      </c>
    </row>
    <row r="7" spans="1:11" x14ac:dyDescent="0.35">
      <c r="A7" s="15">
        <v>1</v>
      </c>
      <c r="B7" s="1" t="s">
        <v>2</v>
      </c>
      <c r="C7" s="1">
        <v>300</v>
      </c>
      <c r="D7" s="1">
        <v>1</v>
      </c>
      <c r="E7" s="1">
        <v>350</v>
      </c>
      <c r="F7" s="1">
        <v>3</v>
      </c>
      <c r="H7" s="1" t="s">
        <v>9</v>
      </c>
      <c r="I7" s="7">
        <v>0.5</v>
      </c>
      <c r="J7" s="9">
        <v>0.05</v>
      </c>
      <c r="K7" s="8">
        <f>I7*J7</f>
        <v>2.5000000000000001E-2</v>
      </c>
    </row>
    <row r="8" spans="1:11" x14ac:dyDescent="0.35">
      <c r="A8" s="15">
        <v>2</v>
      </c>
      <c r="B8" s="1" t="s">
        <v>4</v>
      </c>
      <c r="C8" s="1">
        <v>0</v>
      </c>
      <c r="D8" s="1">
        <v>2</v>
      </c>
      <c r="E8" s="1">
        <v>450</v>
      </c>
      <c r="F8" s="1">
        <v>0</v>
      </c>
      <c r="H8" s="1"/>
      <c r="I8" s="1"/>
      <c r="J8" s="1" t="s">
        <v>24</v>
      </c>
      <c r="K8" s="8">
        <f>SUM(K6:K7)</f>
        <v>0.11499999999999999</v>
      </c>
    </row>
    <row r="9" spans="1:11" x14ac:dyDescent="0.35">
      <c r="A9" s="15">
        <v>3</v>
      </c>
      <c r="B9" s="1" t="s">
        <v>3</v>
      </c>
      <c r="C9" s="1">
        <v>200</v>
      </c>
      <c r="D9" s="1">
        <v>1</v>
      </c>
      <c r="E9" s="1">
        <v>250</v>
      </c>
      <c r="F9" s="1">
        <v>1</v>
      </c>
    </row>
    <row r="10" spans="1:11" x14ac:dyDescent="0.35">
      <c r="A10" s="15">
        <v>4</v>
      </c>
      <c r="B10" s="1" t="s">
        <v>2</v>
      </c>
      <c r="C10" s="1">
        <v>400</v>
      </c>
      <c r="D10" s="1">
        <v>2</v>
      </c>
      <c r="E10" s="1">
        <v>450</v>
      </c>
      <c r="F10" s="1">
        <v>4</v>
      </c>
    </row>
    <row r="11" spans="1:11" x14ac:dyDescent="0.35">
      <c r="A11" s="15">
        <v>5</v>
      </c>
      <c r="B11" s="1" t="s">
        <v>3</v>
      </c>
      <c r="C11" s="1">
        <v>600</v>
      </c>
      <c r="D11" s="1">
        <v>3</v>
      </c>
      <c r="E11" s="1">
        <v>450</v>
      </c>
      <c r="F11" s="1">
        <v>0.5</v>
      </c>
    </row>
    <row r="12" spans="1:11" x14ac:dyDescent="0.35">
      <c r="A12" s="15">
        <v>6</v>
      </c>
      <c r="B12" s="1" t="s">
        <v>2</v>
      </c>
      <c r="C12" s="1">
        <v>0</v>
      </c>
      <c r="D12" s="1">
        <v>4</v>
      </c>
      <c r="E12" s="1">
        <v>600</v>
      </c>
      <c r="F12" s="1">
        <v>0</v>
      </c>
    </row>
    <row r="13" spans="1:11" x14ac:dyDescent="0.35">
      <c r="A13" s="15" t="s">
        <v>38</v>
      </c>
      <c r="B13" s="1" t="s">
        <v>2</v>
      </c>
      <c r="C13" s="1" t="s">
        <v>41</v>
      </c>
      <c r="D13" s="1" t="s">
        <v>46</v>
      </c>
      <c r="E13" s="1" t="s">
        <v>43</v>
      </c>
      <c r="F13" s="1">
        <v>1</v>
      </c>
    </row>
    <row r="14" spans="1:11" x14ac:dyDescent="0.35">
      <c r="A14" s="20"/>
    </row>
    <row r="16" spans="1:11" x14ac:dyDescent="0.35">
      <c r="A16" s="30" t="s">
        <v>33</v>
      </c>
      <c r="B16" s="30"/>
      <c r="C16" s="30"/>
      <c r="D16" s="30"/>
      <c r="E16" s="30"/>
      <c r="F16" s="30"/>
      <c r="G16" s="14" t="s">
        <v>50</v>
      </c>
      <c r="H16" s="14" t="s">
        <v>38</v>
      </c>
    </row>
    <row r="17" spans="1:13" ht="30.75" customHeight="1" x14ac:dyDescent="0.35">
      <c r="A17" s="1" t="s">
        <v>13</v>
      </c>
      <c r="B17" s="31" t="s">
        <v>49</v>
      </c>
      <c r="C17" s="32"/>
      <c r="D17" s="32"/>
      <c r="E17" s="32"/>
      <c r="F17" s="32"/>
      <c r="G17" s="7">
        <v>0.05</v>
      </c>
      <c r="H17" s="7">
        <v>0.1</v>
      </c>
    </row>
    <row r="18" spans="1:13" x14ac:dyDescent="0.35">
      <c r="A18" s="14"/>
      <c r="B18" s="24"/>
      <c r="C18" s="25"/>
      <c r="D18" s="25"/>
      <c r="E18" s="25"/>
      <c r="F18" s="25"/>
      <c r="G18" s="26" t="s">
        <v>6</v>
      </c>
      <c r="H18" s="26" t="s">
        <v>32</v>
      </c>
    </row>
    <row r="19" spans="1:13" ht="30" customHeight="1" x14ac:dyDescent="0.35">
      <c r="A19" s="1" t="s">
        <v>14</v>
      </c>
      <c r="B19" s="33" t="s">
        <v>57</v>
      </c>
      <c r="C19" s="34"/>
      <c r="D19" s="34"/>
      <c r="E19" s="34"/>
      <c r="F19" s="35"/>
      <c r="G19" s="4">
        <f>3500/B2</f>
        <v>6.3636363636363633</v>
      </c>
      <c r="H19" s="1">
        <v>0.35</v>
      </c>
      <c r="I19" s="23"/>
    </row>
    <row r="20" spans="1:13" ht="30" customHeight="1" x14ac:dyDescent="0.35">
      <c r="A20" s="1" t="s">
        <v>15</v>
      </c>
      <c r="B20" s="36" t="s">
        <v>51</v>
      </c>
      <c r="C20" s="37"/>
      <c r="D20" s="37"/>
      <c r="E20" s="37"/>
      <c r="F20" s="38"/>
      <c r="G20" s="1"/>
      <c r="H20" s="1">
        <v>0.25</v>
      </c>
      <c r="I20" s="23"/>
    </row>
    <row r="21" spans="1:13" x14ac:dyDescent="0.35">
      <c r="A21" s="1" t="s">
        <v>18</v>
      </c>
      <c r="B21" s="2">
        <v>2500</v>
      </c>
    </row>
    <row r="23" spans="1:13" x14ac:dyDescent="0.35">
      <c r="A23" s="14" t="s">
        <v>12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</row>
    <row r="24" spans="1:13" x14ac:dyDescent="0.35">
      <c r="A24" s="1" t="s">
        <v>21</v>
      </c>
      <c r="B24" s="5">
        <v>0.01</v>
      </c>
      <c r="C24" s="5">
        <v>0.01</v>
      </c>
      <c r="D24" s="5">
        <v>0.01</v>
      </c>
      <c r="E24" s="5">
        <v>0.01</v>
      </c>
      <c r="F24" s="5">
        <v>0.01</v>
      </c>
    </row>
    <row r="25" spans="1:13" x14ac:dyDescent="0.35">
      <c r="A25" s="1"/>
      <c r="B25" s="6">
        <f>B24+1</f>
        <v>1.01</v>
      </c>
      <c r="C25" s="6">
        <f t="shared" ref="C25:F25" si="0">C24+1</f>
        <v>1.01</v>
      </c>
      <c r="D25" s="6">
        <f t="shared" si="0"/>
        <v>1.01</v>
      </c>
      <c r="E25" s="6">
        <f t="shared" si="0"/>
        <v>1.01</v>
      </c>
      <c r="F25" s="6">
        <f t="shared" si="0"/>
        <v>1.01</v>
      </c>
    </row>
    <row r="26" spans="1:13" x14ac:dyDescent="0.35">
      <c r="C26" s="21">
        <f>B25*(1+C24)</f>
        <v>1.0201</v>
      </c>
      <c r="D26" s="21">
        <f>C26*(1+D24)</f>
        <v>1.0303009999999999</v>
      </c>
      <c r="E26" s="21">
        <f t="shared" ref="E26:F26" si="1">D26*(1+E24)</f>
        <v>1.04060401</v>
      </c>
      <c r="F26" s="21">
        <f t="shared" si="1"/>
        <v>1.0510100500999999</v>
      </c>
    </row>
    <row r="27" spans="1:13" x14ac:dyDescent="0.35">
      <c r="A27" s="27" t="s">
        <v>27</v>
      </c>
      <c r="B27" s="28"/>
      <c r="C27" s="28"/>
      <c r="D27" s="28"/>
      <c r="E27" s="28"/>
      <c r="F27" s="28"/>
      <c r="G27" s="29"/>
      <c r="I27" s="27" t="s">
        <v>28</v>
      </c>
      <c r="J27" s="29"/>
    </row>
    <row r="28" spans="1:13" ht="15" customHeight="1" x14ac:dyDescent="0.35">
      <c r="A28" s="14" t="s">
        <v>35</v>
      </c>
      <c r="B28" s="14">
        <v>2020</v>
      </c>
      <c r="C28" s="14">
        <v>2021</v>
      </c>
      <c r="D28" s="14">
        <v>2022</v>
      </c>
      <c r="E28" s="14">
        <v>2023</v>
      </c>
      <c r="F28" s="14">
        <v>2024</v>
      </c>
      <c r="G28" s="14">
        <v>2025</v>
      </c>
      <c r="I28" s="1" t="s">
        <v>52</v>
      </c>
      <c r="J28" s="2">
        <f>SUM(E7:E12)*12</f>
        <v>30600</v>
      </c>
      <c r="L28" s="19"/>
      <c r="M28" s="19"/>
    </row>
    <row r="29" spans="1:13" x14ac:dyDescent="0.35">
      <c r="A29" s="14" t="s">
        <v>12</v>
      </c>
      <c r="B29" s="14">
        <v>1</v>
      </c>
      <c r="C29" s="14">
        <v>2</v>
      </c>
      <c r="D29" s="14">
        <v>3</v>
      </c>
      <c r="E29" s="14">
        <v>4</v>
      </c>
      <c r="F29" s="14">
        <v>5</v>
      </c>
      <c r="G29" s="14">
        <v>6</v>
      </c>
      <c r="I29" s="1" t="s">
        <v>53</v>
      </c>
      <c r="J29" s="2">
        <f>B4*12*12</f>
        <v>18000</v>
      </c>
      <c r="L29" s="19"/>
      <c r="M29" s="19"/>
    </row>
    <row r="30" spans="1:13" x14ac:dyDescent="0.35">
      <c r="A30" s="1" t="s">
        <v>47</v>
      </c>
      <c r="B30" s="2"/>
      <c r="C30" s="2"/>
      <c r="D30" s="2"/>
      <c r="E30" s="2"/>
      <c r="F30" s="2"/>
      <c r="G30" s="2"/>
      <c r="I30" s="1" t="s">
        <v>16</v>
      </c>
      <c r="J30" s="2">
        <f>SUM(J28:J29)</f>
        <v>48600</v>
      </c>
      <c r="L30" s="19"/>
      <c r="M30" s="19"/>
    </row>
    <row r="31" spans="1:13" x14ac:dyDescent="0.35">
      <c r="A31" s="22">
        <v>1</v>
      </c>
      <c r="B31" s="2">
        <f>$C$7*12</f>
        <v>3600</v>
      </c>
      <c r="C31" s="2">
        <f t="shared" ref="C31:D31" si="2">$C$7*12</f>
        <v>3600</v>
      </c>
      <c r="D31" s="2">
        <f t="shared" si="2"/>
        <v>3600</v>
      </c>
      <c r="E31" s="2">
        <f>E7*D26*12</f>
        <v>4327.2641999999996</v>
      </c>
      <c r="F31" s="2">
        <f>E31*E25</f>
        <v>4370.5368419999995</v>
      </c>
      <c r="G31" s="2">
        <f>F31*F25</f>
        <v>4414.2422104199995</v>
      </c>
      <c r="I31" s="1" t="s">
        <v>54</v>
      </c>
      <c r="J31" s="2">
        <f>J28*G17+J29*H17</f>
        <v>3330</v>
      </c>
      <c r="L31" s="19"/>
      <c r="M31" s="19"/>
    </row>
    <row r="32" spans="1:13" x14ac:dyDescent="0.35">
      <c r="A32" s="22">
        <v>2</v>
      </c>
      <c r="B32" s="2">
        <v>0</v>
      </c>
      <c r="C32" s="2">
        <f>E8*B25*12</f>
        <v>5454</v>
      </c>
      <c r="D32" s="2">
        <f>C32*C25</f>
        <v>5508.54</v>
      </c>
      <c r="E32" s="2">
        <f t="shared" ref="E32:G32" si="3">D32*D25</f>
        <v>5563.6253999999999</v>
      </c>
      <c r="F32" s="2">
        <f t="shared" si="3"/>
        <v>5619.2616539999999</v>
      </c>
      <c r="G32" s="2">
        <f t="shared" si="3"/>
        <v>5675.4542705399999</v>
      </c>
      <c r="I32" s="1" t="s">
        <v>17</v>
      </c>
      <c r="J32" s="2">
        <f>J30-J31</f>
        <v>45270</v>
      </c>
      <c r="L32" s="19"/>
      <c r="M32" s="19"/>
    </row>
    <row r="33" spans="1:13" x14ac:dyDescent="0.35">
      <c r="A33" s="22">
        <v>3</v>
      </c>
      <c r="B33" s="2">
        <f>C9*12</f>
        <v>2400</v>
      </c>
      <c r="C33" s="2">
        <f>E9*B25*12</f>
        <v>3030</v>
      </c>
      <c r="D33" s="2">
        <f>C33*C25</f>
        <v>3060.3</v>
      </c>
      <c r="E33" s="2">
        <f t="shared" ref="E33:G33" si="4">D33*D25</f>
        <v>3090.9030000000002</v>
      </c>
      <c r="F33" s="2">
        <f t="shared" si="4"/>
        <v>3121.8120300000005</v>
      </c>
      <c r="G33" s="2">
        <f t="shared" si="4"/>
        <v>3153.0301503000005</v>
      </c>
      <c r="I33" s="1" t="s">
        <v>14</v>
      </c>
      <c r="J33" s="2">
        <f>B49</f>
        <v>-192.5</v>
      </c>
      <c r="L33" s="19"/>
      <c r="M33" s="19"/>
    </row>
    <row r="34" spans="1:13" x14ac:dyDescent="0.35">
      <c r="A34" s="22">
        <v>4</v>
      </c>
      <c r="B34" s="2">
        <f>$C$10*12</f>
        <v>4800</v>
      </c>
      <c r="C34" s="2">
        <f t="shared" ref="C34:E34" si="5">$C$10*12</f>
        <v>4800</v>
      </c>
      <c r="D34" s="2">
        <f t="shared" si="5"/>
        <v>4800</v>
      </c>
      <c r="E34" s="2">
        <f t="shared" si="5"/>
        <v>4800</v>
      </c>
      <c r="F34" s="2">
        <f>E10*E26*12</f>
        <v>5619.2616539999999</v>
      </c>
      <c r="G34" s="2">
        <f>F34*F25</f>
        <v>5675.4542705399999</v>
      </c>
      <c r="I34" s="1" t="s">
        <v>15</v>
      </c>
      <c r="J34" s="2">
        <f>B50</f>
        <v>-1650</v>
      </c>
      <c r="L34" s="19"/>
      <c r="M34" s="19"/>
    </row>
    <row r="35" spans="1:13" x14ac:dyDescent="0.35">
      <c r="A35" s="22">
        <v>5</v>
      </c>
      <c r="B35" s="2">
        <f>C11*6+E11*6</f>
        <v>6300</v>
      </c>
      <c r="C35" s="2">
        <f>E11*B25*12</f>
        <v>5454</v>
      </c>
      <c r="D35" s="2">
        <f>C35*C25</f>
        <v>5508.54</v>
      </c>
      <c r="E35" s="2">
        <f t="shared" ref="E35:G35" si="6">D35*D25</f>
        <v>5563.6253999999999</v>
      </c>
      <c r="F35" s="2">
        <f t="shared" si="6"/>
        <v>5619.2616539999999</v>
      </c>
      <c r="G35" s="2">
        <f t="shared" si="6"/>
        <v>5675.4542705399999</v>
      </c>
      <c r="I35" s="1" t="s">
        <v>19</v>
      </c>
      <c r="J35" s="2">
        <f>SUM(J32:J34)</f>
        <v>43427.5</v>
      </c>
      <c r="L35" s="19"/>
      <c r="M35" s="19"/>
    </row>
    <row r="36" spans="1:13" x14ac:dyDescent="0.35">
      <c r="A36" s="22">
        <v>6</v>
      </c>
      <c r="B36" s="2">
        <f>E12*12</f>
        <v>7200</v>
      </c>
      <c r="C36" s="2">
        <f>B36*B25</f>
        <v>7272</v>
      </c>
      <c r="D36" s="2">
        <f t="shared" ref="D36:G36" si="7">C36*C25</f>
        <v>7344.72</v>
      </c>
      <c r="E36" s="2">
        <f t="shared" si="7"/>
        <v>7418.1672000000008</v>
      </c>
      <c r="F36" s="2">
        <f t="shared" si="7"/>
        <v>7492.3488720000005</v>
      </c>
      <c r="G36" s="2">
        <f t="shared" si="7"/>
        <v>7567.2723607200005</v>
      </c>
      <c r="I36" s="1" t="s">
        <v>18</v>
      </c>
      <c r="J36" s="2">
        <f>-B21</f>
        <v>-2500</v>
      </c>
      <c r="L36" s="19"/>
      <c r="M36" s="19"/>
    </row>
    <row r="37" spans="1:13" x14ac:dyDescent="0.35">
      <c r="A37" s="22" t="s">
        <v>38</v>
      </c>
      <c r="B37" s="2">
        <f>B4*10*12</f>
        <v>15000</v>
      </c>
      <c r="C37" s="2">
        <f>12*B25*B4*12</f>
        <v>18180.000000000004</v>
      </c>
      <c r="D37" s="2">
        <f>C37*C25</f>
        <v>18361.800000000003</v>
      </c>
      <c r="E37" s="2">
        <f t="shared" ref="E37:G37" si="8">D37*D25</f>
        <v>18545.418000000001</v>
      </c>
      <c r="F37" s="2">
        <f>E37*E25</f>
        <v>18730.872180000002</v>
      </c>
      <c r="G37" s="2">
        <f t="shared" si="8"/>
        <v>18918.180901800002</v>
      </c>
      <c r="I37" s="1" t="s">
        <v>26</v>
      </c>
      <c r="J37" s="2">
        <f>ROUND(J35/I3+J36,-3)</f>
        <v>392000</v>
      </c>
      <c r="L37" s="19"/>
      <c r="M37" s="19"/>
    </row>
    <row r="38" spans="1:13" x14ac:dyDescent="0.35">
      <c r="A38" s="1" t="s">
        <v>16</v>
      </c>
      <c r="B38" s="2">
        <f>SUM(B31:B37)</f>
        <v>39300</v>
      </c>
      <c r="C38" s="2">
        <f t="shared" ref="C38:G38" si="9">SUM(C31:C37)</f>
        <v>47790</v>
      </c>
      <c r="D38" s="2">
        <f t="shared" si="9"/>
        <v>48183.900000000009</v>
      </c>
      <c r="E38" s="2">
        <f t="shared" si="9"/>
        <v>49309.003200000006</v>
      </c>
      <c r="F38" s="2">
        <f t="shared" si="9"/>
        <v>50573.354886000001</v>
      </c>
      <c r="G38" s="2">
        <f t="shared" si="9"/>
        <v>51079.088434860008</v>
      </c>
      <c r="I38" s="1" t="s">
        <v>31</v>
      </c>
      <c r="J38" s="11">
        <f>J37/B2</f>
        <v>712.72727272727275</v>
      </c>
      <c r="L38" s="19"/>
      <c r="M38" s="19"/>
    </row>
    <row r="39" spans="1:13" x14ac:dyDescent="0.35">
      <c r="A39" s="1" t="s">
        <v>48</v>
      </c>
      <c r="B39" s="2"/>
      <c r="C39" s="2"/>
      <c r="D39" s="2"/>
      <c r="E39" s="2"/>
      <c r="F39" s="2"/>
      <c r="G39" s="2"/>
    </row>
    <row r="40" spans="1:13" x14ac:dyDescent="0.35">
      <c r="A40" s="22">
        <v>1</v>
      </c>
      <c r="B40" s="2">
        <f>B31*5%</f>
        <v>180</v>
      </c>
      <c r="C40" s="2">
        <f t="shared" ref="C40:D40" si="10">C31*5%</f>
        <v>180</v>
      </c>
      <c r="D40" s="2">
        <f t="shared" si="10"/>
        <v>180</v>
      </c>
      <c r="E40" s="2">
        <f>(E31*3/12)+(E31*5%*9/12)</f>
        <v>1244.0884575</v>
      </c>
      <c r="F40" s="2">
        <f>+F31*5%</f>
        <v>218.52684209999998</v>
      </c>
      <c r="G40" s="2">
        <f>+G31*5%</f>
        <v>220.712110521</v>
      </c>
      <c r="I40" t="s">
        <v>58</v>
      </c>
    </row>
    <row r="41" spans="1:13" x14ac:dyDescent="0.35">
      <c r="A41" s="22">
        <v>2</v>
      </c>
      <c r="B41" s="2">
        <f>+B32</f>
        <v>0</v>
      </c>
      <c r="C41" s="2">
        <f>(C32*3/12)+(C32*5%*9/12)</f>
        <v>1568.0250000000001</v>
      </c>
      <c r="D41" s="2">
        <f>D32*5%</f>
        <v>275.42700000000002</v>
      </c>
      <c r="E41" s="2">
        <f t="shared" ref="E41:G41" si="11">E32*5%</f>
        <v>278.18126999999998</v>
      </c>
      <c r="F41" s="2">
        <f t="shared" si="11"/>
        <v>280.96308270000003</v>
      </c>
      <c r="G41" s="2">
        <f t="shared" si="11"/>
        <v>283.77271352700001</v>
      </c>
      <c r="I41" t="s">
        <v>59</v>
      </c>
    </row>
    <row r="42" spans="1:13" x14ac:dyDescent="0.35">
      <c r="A42" s="22">
        <v>3</v>
      </c>
      <c r="B42" s="2">
        <f>B33*G17</f>
        <v>120</v>
      </c>
      <c r="C42" s="2">
        <f>(C33*3/12)+(C33*5%*9/12)</f>
        <v>871.125</v>
      </c>
      <c r="D42" s="2">
        <f>+D33*G17</f>
        <v>153.01500000000001</v>
      </c>
      <c r="E42" s="2">
        <f>+E33*G17</f>
        <v>154.54515000000004</v>
      </c>
      <c r="F42" s="2">
        <f>+F33*5%</f>
        <v>156.09060150000005</v>
      </c>
      <c r="G42" s="2">
        <f>+G33*5%</f>
        <v>157.65150751500005</v>
      </c>
    </row>
    <row r="43" spans="1:13" x14ac:dyDescent="0.35">
      <c r="A43" s="22">
        <v>4</v>
      </c>
      <c r="B43" s="2">
        <f>B34*$G$17</f>
        <v>240</v>
      </c>
      <c r="C43" s="2">
        <f t="shared" ref="C43:G43" si="12">C34*$G$17</f>
        <v>240</v>
      </c>
      <c r="D43" s="2">
        <f t="shared" si="12"/>
        <v>240</v>
      </c>
      <c r="E43" s="2">
        <f t="shared" si="12"/>
        <v>240</v>
      </c>
      <c r="F43" s="2">
        <f>(F34*3/12)+(F34*5%*9/12)</f>
        <v>1615.5377255249998</v>
      </c>
      <c r="G43" s="2">
        <f t="shared" si="12"/>
        <v>283.77271352700001</v>
      </c>
    </row>
    <row r="44" spans="1:13" x14ac:dyDescent="0.35">
      <c r="A44" s="22">
        <v>5</v>
      </c>
      <c r="B44" s="2">
        <f>(B35*3/12)+(B35*5%*9/12)</f>
        <v>1811.25</v>
      </c>
      <c r="C44" s="2">
        <f>+C35*$G$17</f>
        <v>272.7</v>
      </c>
      <c r="D44" s="2">
        <f t="shared" ref="D44:G44" si="13">+D35*$G$17</f>
        <v>275.42700000000002</v>
      </c>
      <c r="E44" s="2">
        <f t="shared" si="13"/>
        <v>278.18126999999998</v>
      </c>
      <c r="F44" s="2">
        <f t="shared" si="13"/>
        <v>280.96308270000003</v>
      </c>
      <c r="G44" s="2">
        <f t="shared" si="13"/>
        <v>283.77271352700001</v>
      </c>
    </row>
    <row r="45" spans="1:13" x14ac:dyDescent="0.35">
      <c r="A45" s="22">
        <v>6</v>
      </c>
      <c r="B45" s="2">
        <f>B36*$G$17</f>
        <v>360</v>
      </c>
      <c r="C45" s="2">
        <f t="shared" ref="C45:G45" si="14">C36*$G$17</f>
        <v>363.6</v>
      </c>
      <c r="D45" s="2">
        <f t="shared" si="14"/>
        <v>367.23600000000005</v>
      </c>
      <c r="E45" s="2">
        <f t="shared" si="14"/>
        <v>370.90836000000007</v>
      </c>
      <c r="F45" s="2">
        <f t="shared" si="14"/>
        <v>374.61744360000006</v>
      </c>
      <c r="G45" s="2">
        <f t="shared" si="14"/>
        <v>378.36361803600005</v>
      </c>
    </row>
    <row r="46" spans="1:13" x14ac:dyDescent="0.35">
      <c r="A46" s="22" t="s">
        <v>38</v>
      </c>
      <c r="B46" s="2">
        <f>+B37*H17</f>
        <v>1500</v>
      </c>
      <c r="C46" s="2">
        <f>(C37*6/12)+(C37*6/12*H17)</f>
        <v>9999.0000000000018</v>
      </c>
      <c r="D46" s="2">
        <f>D37*$H$17</f>
        <v>1836.1800000000003</v>
      </c>
      <c r="E46" s="2">
        <f t="shared" ref="E46:G46" si="15">E37*$H$17</f>
        <v>1854.5418000000002</v>
      </c>
      <c r="F46" s="2">
        <f t="shared" si="15"/>
        <v>1873.0872180000003</v>
      </c>
      <c r="G46" s="2">
        <f t="shared" si="15"/>
        <v>1891.8180901800004</v>
      </c>
    </row>
    <row r="47" spans="1:13" x14ac:dyDescent="0.35">
      <c r="A47" s="22"/>
      <c r="B47" s="2">
        <f>SUM(B40:B46)</f>
        <v>4211.25</v>
      </c>
      <c r="C47" s="2">
        <f t="shared" ref="C47:G47" si="16">SUM(C40:C46)</f>
        <v>13494.45</v>
      </c>
      <c r="D47" s="2">
        <f t="shared" si="16"/>
        <v>3327.2850000000008</v>
      </c>
      <c r="E47" s="2">
        <f t="shared" si="16"/>
        <v>4420.4463075000003</v>
      </c>
      <c r="F47" s="2">
        <f t="shared" si="16"/>
        <v>4799.7859961250006</v>
      </c>
      <c r="G47" s="2">
        <f t="shared" si="16"/>
        <v>3499.8634668330005</v>
      </c>
    </row>
    <row r="48" spans="1:13" x14ac:dyDescent="0.35">
      <c r="A48" s="1" t="s">
        <v>17</v>
      </c>
      <c r="B48" s="2">
        <f>B38-SUM(B40:B46)</f>
        <v>35088.75</v>
      </c>
      <c r="C48" s="2">
        <f t="shared" ref="C48:G48" si="17">C38-SUM(C40:C46)</f>
        <v>34295.550000000003</v>
      </c>
      <c r="D48" s="2">
        <f t="shared" si="17"/>
        <v>44856.615000000005</v>
      </c>
      <c r="E48" s="2">
        <f t="shared" si="17"/>
        <v>44888.556892500004</v>
      </c>
      <c r="F48" s="2">
        <f t="shared" si="17"/>
        <v>45773.568889875001</v>
      </c>
      <c r="G48" s="2">
        <f t="shared" si="17"/>
        <v>47579.224968027011</v>
      </c>
    </row>
    <row r="49" spans="1:11" x14ac:dyDescent="0.35">
      <c r="A49" s="1" t="s">
        <v>14</v>
      </c>
      <c r="B49" s="2">
        <f>-H19*B2</f>
        <v>-192.5</v>
      </c>
      <c r="C49" s="2">
        <f>B49*B25</f>
        <v>-194.42500000000001</v>
      </c>
      <c r="D49" s="2">
        <f t="shared" ref="D49:G49" si="18">C49*C25</f>
        <v>-196.36925000000002</v>
      </c>
      <c r="E49" s="2">
        <f t="shared" si="18"/>
        <v>-198.33294250000003</v>
      </c>
      <c r="F49" s="2">
        <f t="shared" si="18"/>
        <v>-200.31627192500002</v>
      </c>
      <c r="G49" s="2">
        <f t="shared" si="18"/>
        <v>-202.31943464425004</v>
      </c>
    </row>
    <row r="50" spans="1:11" x14ac:dyDescent="0.35">
      <c r="A50" s="1" t="s">
        <v>15</v>
      </c>
      <c r="B50" s="2">
        <f>-H20*B2*12</f>
        <v>-1650</v>
      </c>
      <c r="C50" s="2">
        <f>B50*B25</f>
        <v>-1666.5</v>
      </c>
      <c r="D50" s="2">
        <f t="shared" ref="D50:G50" si="19">C50*C25</f>
        <v>-1683.165</v>
      </c>
      <c r="E50" s="2">
        <f t="shared" si="19"/>
        <v>-1699.99665</v>
      </c>
      <c r="F50" s="2">
        <f t="shared" si="19"/>
        <v>-1716.9966165000001</v>
      </c>
      <c r="G50" s="2">
        <f t="shared" si="19"/>
        <v>-1734.1665826650001</v>
      </c>
    </row>
    <row r="51" spans="1:11" x14ac:dyDescent="0.35">
      <c r="A51" s="1" t="s">
        <v>19</v>
      </c>
      <c r="B51" s="2">
        <f>SUM(B48:B50)</f>
        <v>33246.25</v>
      </c>
      <c r="C51" s="2">
        <f t="shared" ref="C51:G51" si="20">SUM(C48:C50)</f>
        <v>32434.625</v>
      </c>
      <c r="D51" s="2">
        <f t="shared" si="20"/>
        <v>42977.080750000001</v>
      </c>
      <c r="E51" s="2">
        <f t="shared" si="20"/>
        <v>42990.227300000006</v>
      </c>
      <c r="F51" s="2">
        <f t="shared" si="20"/>
        <v>43856.256001449998</v>
      </c>
      <c r="G51" s="2">
        <f t="shared" si="20"/>
        <v>45642.738950717765</v>
      </c>
    </row>
    <row r="52" spans="1:11" x14ac:dyDescent="0.35">
      <c r="A52" s="1" t="s">
        <v>18</v>
      </c>
      <c r="B52" s="2">
        <f>-B21</f>
        <v>-2500</v>
      </c>
      <c r="C52" s="2"/>
      <c r="D52" s="2"/>
      <c r="E52" s="2"/>
      <c r="F52" s="2"/>
      <c r="G52" s="2"/>
      <c r="K52" s="16"/>
    </row>
    <row r="53" spans="1:11" x14ac:dyDescent="0.35">
      <c r="A53" s="1" t="s">
        <v>36</v>
      </c>
      <c r="B53" s="2">
        <f t="shared" ref="B53:G53" si="21">SUM(B51:B52)</f>
        <v>30746.25</v>
      </c>
      <c r="C53" s="2">
        <f t="shared" si="21"/>
        <v>32434.625</v>
      </c>
      <c r="D53" s="2">
        <f t="shared" si="21"/>
        <v>42977.080750000001</v>
      </c>
      <c r="E53" s="2">
        <f t="shared" si="21"/>
        <v>42990.227300000006</v>
      </c>
      <c r="F53" s="2">
        <f>SUM(F51:F52)+F56</f>
        <v>491155.09771848406</v>
      </c>
      <c r="G53" s="2">
        <f t="shared" si="21"/>
        <v>45642.738950717765</v>
      </c>
    </row>
    <row r="54" spans="1:11" x14ac:dyDescent="0.35">
      <c r="A54" s="1" t="s">
        <v>22</v>
      </c>
      <c r="B54" s="2"/>
      <c r="C54" s="2"/>
      <c r="D54" s="2"/>
      <c r="E54" s="2"/>
      <c r="F54" s="2">
        <f>G53/J3</f>
        <v>456427.38950717764</v>
      </c>
      <c r="G54" s="2"/>
    </row>
    <row r="55" spans="1:11" x14ac:dyDescent="0.35">
      <c r="A55" s="1" t="s">
        <v>23</v>
      </c>
      <c r="B55" s="2"/>
      <c r="C55" s="2"/>
      <c r="D55" s="2"/>
      <c r="E55" s="2"/>
      <c r="F55" s="2">
        <f>-F54*2%</f>
        <v>-9128.5477901435534</v>
      </c>
      <c r="G55" s="2"/>
    </row>
    <row r="56" spans="1:11" x14ac:dyDescent="0.35">
      <c r="A56" s="1" t="s">
        <v>56</v>
      </c>
      <c r="B56" s="2"/>
      <c r="C56" s="2"/>
      <c r="D56" s="2"/>
      <c r="E56" s="2"/>
      <c r="F56" s="2">
        <f>F54+F55</f>
        <v>447298.84171703405</v>
      </c>
      <c r="G56" s="2"/>
    </row>
    <row r="57" spans="1:11" x14ac:dyDescent="0.35">
      <c r="A57" s="1" t="s">
        <v>37</v>
      </c>
      <c r="B57" s="2">
        <f>B53*B62</f>
        <v>27575.112107623321</v>
      </c>
      <c r="C57" s="2">
        <f>C53*C62</f>
        <v>26089.102937923548</v>
      </c>
      <c r="D57" s="2">
        <f>D53*D62</f>
        <v>31003.613215917267</v>
      </c>
      <c r="E57" s="2">
        <f>E53*E62</f>
        <v>27814.436879752971</v>
      </c>
      <c r="F57" s="2">
        <f>F53*F62</f>
        <v>284999.64500018558</v>
      </c>
      <c r="G57" s="2"/>
    </row>
    <row r="58" spans="1:11" x14ac:dyDescent="0.35">
      <c r="A58" s="1" t="s">
        <v>26</v>
      </c>
      <c r="B58" s="2">
        <f>ROUND(SUM(B57:F57),-3)</f>
        <v>397000</v>
      </c>
      <c r="C58" s="2"/>
      <c r="D58" s="2"/>
      <c r="E58" s="2"/>
      <c r="F58" s="2"/>
      <c r="G58" s="2"/>
    </row>
    <row r="59" spans="1:11" x14ac:dyDescent="0.35">
      <c r="A59" s="1" t="s">
        <v>55</v>
      </c>
      <c r="B59" s="2">
        <f>ROUND(NPV(K8,B53:F53),-3)</f>
        <v>397000</v>
      </c>
      <c r="C59" s="16"/>
      <c r="D59" s="16"/>
      <c r="E59" s="16"/>
      <c r="F59" s="16"/>
      <c r="G59" s="16"/>
    </row>
    <row r="60" spans="1:11" x14ac:dyDescent="0.35">
      <c r="A60" s="1" t="s">
        <v>31</v>
      </c>
      <c r="B60" s="11">
        <f>B58/B2</f>
        <v>721.81818181818187</v>
      </c>
      <c r="C60" s="16"/>
    </row>
    <row r="61" spans="1:11" x14ac:dyDescent="0.35">
      <c r="A61" s="3"/>
      <c r="B61" s="12"/>
    </row>
    <row r="62" spans="1:11" x14ac:dyDescent="0.35">
      <c r="A62" s="1" t="s">
        <v>25</v>
      </c>
      <c r="B62" s="10">
        <f>1/(1+$K$8)</f>
        <v>0.89686098654708524</v>
      </c>
      <c r="C62" s="10">
        <f>B62/(1+$K$8)</f>
        <v>0.80435962919021098</v>
      </c>
      <c r="D62" s="10">
        <f>C62/(1+$K$8)</f>
        <v>0.72139877057418023</v>
      </c>
      <c r="E62" s="10">
        <f>D62/(1+$K$8)</f>
        <v>0.64699441307101369</v>
      </c>
      <c r="F62" s="10">
        <f>E62/(1+$K$8)</f>
        <v>0.58026404759732164</v>
      </c>
    </row>
    <row r="63" spans="1:11" x14ac:dyDescent="0.35">
      <c r="B63" s="16"/>
      <c r="C63" s="16"/>
      <c r="D63" s="16"/>
      <c r="E63" s="16"/>
      <c r="F63" s="16"/>
    </row>
    <row r="64" spans="1:11" x14ac:dyDescent="0.35">
      <c r="A64" t="s">
        <v>60</v>
      </c>
    </row>
    <row r="65" spans="1:6" x14ac:dyDescent="0.35">
      <c r="A65" t="s">
        <v>61</v>
      </c>
    </row>
    <row r="66" spans="1:6" x14ac:dyDescent="0.35">
      <c r="A66" s="17"/>
      <c r="F66" s="16"/>
    </row>
  </sheetData>
  <mergeCells count="6">
    <mergeCell ref="A27:G27"/>
    <mergeCell ref="I27:J27"/>
    <mergeCell ref="A16:F16"/>
    <mergeCell ref="B17:F17"/>
    <mergeCell ref="B19:F19"/>
    <mergeCell ref="B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Hartti Tomson</dc:creator>
  <cp:lastModifiedBy>Eesti Kinnisvara Hindajate Ühing</cp:lastModifiedBy>
  <dcterms:created xsi:type="dcterms:W3CDTF">2019-10-03T16:29:07Z</dcterms:created>
  <dcterms:modified xsi:type="dcterms:W3CDTF">2023-10-05T11:13:05Z</dcterms:modified>
</cp:coreProperties>
</file>