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Rahavoog" sheetId="1" r:id="rId1"/>
    <sheet name="koond" sheetId="2" r:id="rId2"/>
  </sheets>
  <definedNames/>
  <calcPr fullCalcOnLoad="1"/>
</workbook>
</file>

<file path=xl/sharedStrings.xml><?xml version="1.0" encoding="utf-8"?>
<sst xmlns="http://schemas.openxmlformats.org/spreadsheetml/2006/main" count="74" uniqueCount="63">
  <si>
    <t>Algandmed:</t>
  </si>
  <si>
    <t>pinnad</t>
  </si>
  <si>
    <t>aastas</t>
  </si>
  <si>
    <t>Kokku:</t>
  </si>
  <si>
    <t>Potentsiaalne kogutulu (PGI)</t>
  </si>
  <si>
    <t>Efektiivne kogutulu (EGI)</t>
  </si>
  <si>
    <t>Kulud:</t>
  </si>
  <si>
    <t>m²</t>
  </si>
  <si>
    <t>Tulud:</t>
  </si>
  <si>
    <t>1. aasta</t>
  </si>
  <si>
    <t>Halduskulud</t>
  </si>
  <si>
    <t>Kulud kokku</t>
  </si>
  <si>
    <t>Kulud</t>
  </si>
  <si>
    <t>Puhas tegevustulu (NOI)</t>
  </si>
  <si>
    <t>krooni</t>
  </si>
  <si>
    <t>Projekti oodatav tulunorm</t>
  </si>
  <si>
    <t>Diskontokordaja</t>
  </si>
  <si>
    <t>%</t>
  </si>
  <si>
    <t>Kinnisvara müügitulu</t>
  </si>
  <si>
    <t>Kaod vakantsi tõttu</t>
  </si>
  <si>
    <t>Pinna vakantsusmäär (%)</t>
  </si>
  <si>
    <t>Renditulude kasvumäär (%)</t>
  </si>
  <si>
    <t>2. aasta</t>
  </si>
  <si>
    <t>3. aasta</t>
  </si>
  <si>
    <t>4. aasta</t>
  </si>
  <si>
    <t>5.aasta</t>
  </si>
  <si>
    <t>6. aasta</t>
  </si>
  <si>
    <t>Haldus- ja hoolduskulude kasvumäär (%)</t>
  </si>
  <si>
    <t>Kinnisvara müügitulu 5 aasta lõpus</t>
  </si>
  <si>
    <r>
      <t>NOI</t>
    </r>
    <r>
      <rPr>
        <vertAlign val="subscript"/>
        <sz val="10"/>
        <rFont val="Arial"/>
        <family val="2"/>
      </rPr>
      <t>6</t>
    </r>
  </si>
  <si>
    <t>Kap.määr</t>
  </si>
  <si>
    <t>Müügihind</t>
  </si>
  <si>
    <t>Müügikulud:</t>
  </si>
  <si>
    <t>Netomüügihind:</t>
  </si>
  <si>
    <t>Rahavood tegevusest</t>
  </si>
  <si>
    <t>Diskonteeritud rahavood</t>
  </si>
  <si>
    <t>Kinnisvara väärtus diskonteerimismeetodil:</t>
  </si>
  <si>
    <t>Aasta</t>
  </si>
  <si>
    <t>Renditulude kasvumäär, %</t>
  </si>
  <si>
    <t>Potentsiaalne kogutulu (PGI), kr</t>
  </si>
  <si>
    <t>Pinna vakantsimäär, %</t>
  </si>
  <si>
    <t>Kaod vakantsi tõttu, kr</t>
  </si>
  <si>
    <t>Efektiivne kogutulu (EGI), kr</t>
  </si>
  <si>
    <t>Haldus ja hoolduskulude kasvumäär %</t>
  </si>
  <si>
    <t>Haldus- ja hoolduskulud, kr</t>
  </si>
  <si>
    <t>Puhas tegevustulu (NOI), kr</t>
  </si>
  <si>
    <t>Diskonteeritud netotulu, kr</t>
  </si>
  <si>
    <t>Kapitalisatsioonimäär, %</t>
  </si>
  <si>
    <t>Müügihind, kr</t>
  </si>
  <si>
    <t>Müügikulud, kr</t>
  </si>
  <si>
    <t>Netomüügihind, kr</t>
  </si>
  <si>
    <t>Müügihinna tänane väärtus, kr</t>
  </si>
  <si>
    <t>Turuväärtus</t>
  </si>
  <si>
    <t>kr/m²</t>
  </si>
  <si>
    <t>kr kuus</t>
  </si>
  <si>
    <t>Pinnaühiku maksumuse arvestuses</t>
  </si>
  <si>
    <t>üürimäär</t>
  </si>
  <si>
    <t>kuu üür</t>
  </si>
  <si>
    <t>Üüritulu</t>
  </si>
  <si>
    <r>
      <t>NOI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, kr</t>
    </r>
  </si>
  <si>
    <t>Haldus- ja hoolduskulud</t>
  </si>
  <si>
    <t>olemasolevate lepingute rahavoog</t>
  </si>
  <si>
    <t>vakantsete pindade rahavoog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</si>
</sst>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  <numFmt numFmtId="166" formatCode="#,##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0.0000"/>
    <numFmt numFmtId="173" formatCode="0.00000000"/>
    <numFmt numFmtId="174" formatCode="0.0000000"/>
    <numFmt numFmtId="175" formatCode="0.000000"/>
    <numFmt numFmtId="176" formatCode="0.000"/>
    <numFmt numFmtId="177" formatCode="#,##0.000"/>
    <numFmt numFmtId="178" formatCode="d/m/yy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wrapText="1"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7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165" fontId="0" fillId="0" borderId="10" xfId="59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2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3.7109375" style="0" customWidth="1"/>
    <col min="2" max="2" width="7.00390625" style="0" customWidth="1"/>
    <col min="3" max="3" width="13.7109375" style="0" customWidth="1"/>
    <col min="4" max="4" width="13.421875" style="0" bestFit="1" customWidth="1"/>
    <col min="5" max="7" width="10.140625" style="0" bestFit="1" customWidth="1"/>
    <col min="8" max="8" width="12.140625" style="0" bestFit="1" customWidth="1"/>
    <col min="9" max="9" width="10.140625" style="0" bestFit="1" customWidth="1"/>
    <col min="11" max="11" width="9.28125" style="0" bestFit="1" customWidth="1"/>
    <col min="12" max="12" width="10.140625" style="0" customWidth="1"/>
    <col min="13" max="13" width="14.28125" style="0" customWidth="1"/>
    <col min="14" max="14" width="10.8515625" style="0" bestFit="1" customWidth="1"/>
  </cols>
  <sheetData>
    <row r="1" spans="1:13" ht="12.75">
      <c r="A1" s="1" t="s">
        <v>0</v>
      </c>
      <c r="G1" s="4" t="s">
        <v>8</v>
      </c>
      <c r="I1" t="s">
        <v>1</v>
      </c>
      <c r="K1" t="s">
        <v>56</v>
      </c>
      <c r="L1" t="s">
        <v>57</v>
      </c>
      <c r="M1" t="s">
        <v>2</v>
      </c>
    </row>
    <row r="2" spans="2:13" ht="12.75">
      <c r="B2" s="3"/>
      <c r="C2" s="3" t="s">
        <v>15</v>
      </c>
      <c r="D2" s="28">
        <v>9</v>
      </c>
      <c r="E2" t="s">
        <v>17</v>
      </c>
      <c r="H2" s="6" t="s">
        <v>61</v>
      </c>
      <c r="I2" s="11">
        <v>3420</v>
      </c>
      <c r="J2" s="3" t="s">
        <v>7</v>
      </c>
      <c r="K2" s="12">
        <v>275</v>
      </c>
      <c r="L2" s="2">
        <f>K2*I2</f>
        <v>940500</v>
      </c>
      <c r="M2" s="2">
        <f>K2*I2*12</f>
        <v>11286000</v>
      </c>
    </row>
    <row r="3" spans="2:13" ht="12.75">
      <c r="B3" s="3"/>
      <c r="C3" s="3"/>
      <c r="D3" s="18"/>
      <c r="H3" s="6" t="s">
        <v>62</v>
      </c>
      <c r="I3" s="23">
        <v>200</v>
      </c>
      <c r="J3" s="3" t="s">
        <v>7</v>
      </c>
      <c r="K3" s="12">
        <v>275</v>
      </c>
      <c r="L3" s="2">
        <f>K3*I3</f>
        <v>55000</v>
      </c>
      <c r="M3" s="2">
        <f>K3*I3*12</f>
        <v>660000</v>
      </c>
    </row>
    <row r="4" spans="2:13" ht="12.75">
      <c r="B4" s="3"/>
      <c r="C4" s="1" t="s">
        <v>28</v>
      </c>
      <c r="D4" s="1"/>
      <c r="E4" s="1"/>
      <c r="H4" s="3"/>
      <c r="I4" s="23">
        <v>0</v>
      </c>
      <c r="J4" s="3"/>
      <c r="K4" s="12">
        <v>0</v>
      </c>
      <c r="L4" s="2">
        <f>K4*I4</f>
        <v>0</v>
      </c>
      <c r="M4" s="2">
        <f>K4*I4*12</f>
        <v>0</v>
      </c>
    </row>
    <row r="5" spans="2:13" ht="15.75">
      <c r="B5" s="3"/>
      <c r="C5" s="3" t="s">
        <v>29</v>
      </c>
      <c r="D5" s="2">
        <f>I27</f>
        <v>11708000.7127529</v>
      </c>
      <c r="E5" t="s">
        <v>14</v>
      </c>
      <c r="I5" s="23">
        <v>0</v>
      </c>
      <c r="K5" s="12">
        <v>0</v>
      </c>
      <c r="L5" s="2">
        <f>K5*I5</f>
        <v>0</v>
      </c>
      <c r="M5" s="2">
        <f>K5*I5*12</f>
        <v>0</v>
      </c>
    </row>
    <row r="6" spans="2:13" ht="12.75">
      <c r="B6" s="3"/>
      <c r="C6" t="s">
        <v>30</v>
      </c>
      <c r="D6" s="14">
        <v>8.2</v>
      </c>
      <c r="E6" t="s">
        <v>17</v>
      </c>
      <c r="I6" s="23">
        <v>0</v>
      </c>
      <c r="K6" s="12">
        <v>0</v>
      </c>
      <c r="L6" s="2">
        <f>K6*I6</f>
        <v>0</v>
      </c>
      <c r="M6" s="2">
        <f>K6*I6*12</f>
        <v>0</v>
      </c>
    </row>
    <row r="7" spans="2:11" ht="12.75">
      <c r="B7" s="3"/>
      <c r="C7" t="s">
        <v>31</v>
      </c>
      <c r="D7" s="2">
        <f>D5/(D6/100)</f>
        <v>142780496.4969866</v>
      </c>
      <c r="H7">
        <f>I7</f>
        <v>3620</v>
      </c>
      <c r="I7">
        <f>SUM(I2:I6)</f>
        <v>3620</v>
      </c>
      <c r="J7" s="3"/>
      <c r="K7" s="12"/>
    </row>
    <row r="8" spans="3:13" ht="12.75">
      <c r="C8" s="3" t="s">
        <v>32</v>
      </c>
      <c r="D8" s="10">
        <f>E8*D7</f>
        <v>3569512.412424665</v>
      </c>
      <c r="E8" s="45">
        <v>0.025</v>
      </c>
      <c r="L8" s="5">
        <v>948129.57</v>
      </c>
      <c r="M8" s="5">
        <f>SUM(M2:M7)</f>
        <v>11946000</v>
      </c>
    </row>
    <row r="9" spans="3:9" ht="12.75">
      <c r="C9" s="3" t="s">
        <v>33</v>
      </c>
      <c r="D9" s="2">
        <f>D7-D8</f>
        <v>139210984.08456194</v>
      </c>
      <c r="G9" s="4" t="s">
        <v>6</v>
      </c>
      <c r="I9" s="23"/>
    </row>
    <row r="10" spans="8:13" ht="12.75">
      <c r="H10" s="3" t="s">
        <v>60</v>
      </c>
      <c r="I10" s="10">
        <f>15*4500</f>
        <v>67500</v>
      </c>
      <c r="J10" t="s">
        <v>54</v>
      </c>
      <c r="M10" s="2">
        <f>I10*12</f>
        <v>810000</v>
      </c>
    </row>
    <row r="11" spans="8:13" ht="12.75">
      <c r="H11" s="3"/>
      <c r="I11" s="10"/>
      <c r="M11" s="2">
        <f>I11*12</f>
        <v>0</v>
      </c>
    </row>
    <row r="12" ht="12.75">
      <c r="M12" s="5">
        <f>SUM(M10:M11)</f>
        <v>810000</v>
      </c>
    </row>
    <row r="13" spans="3:9" ht="12.75">
      <c r="C13" s="3" t="s">
        <v>20</v>
      </c>
      <c r="D13" s="39">
        <v>9</v>
      </c>
      <c r="E13" s="39">
        <v>9</v>
      </c>
      <c r="F13" s="39">
        <v>9</v>
      </c>
      <c r="G13" s="39">
        <v>9</v>
      </c>
      <c r="H13" s="39">
        <v>9</v>
      </c>
      <c r="I13" s="39">
        <v>9</v>
      </c>
    </row>
    <row r="14" spans="3:9" ht="12.75">
      <c r="C14" s="3" t="s">
        <v>21</v>
      </c>
      <c r="D14" s="14">
        <v>3</v>
      </c>
      <c r="E14" s="14">
        <v>3</v>
      </c>
      <c r="F14" s="14">
        <v>3</v>
      </c>
      <c r="G14" s="14">
        <v>3</v>
      </c>
      <c r="H14" s="14">
        <v>3</v>
      </c>
      <c r="I14" s="14">
        <v>3</v>
      </c>
    </row>
    <row r="15" spans="3:9" ht="12.75">
      <c r="C15" s="3" t="s">
        <v>27</v>
      </c>
      <c r="D15" s="14">
        <v>2</v>
      </c>
      <c r="E15" s="14">
        <v>2</v>
      </c>
      <c r="F15" s="14">
        <v>2</v>
      </c>
      <c r="G15" s="14">
        <v>2</v>
      </c>
      <c r="H15" s="14">
        <v>2</v>
      </c>
      <c r="I15" s="14">
        <v>2</v>
      </c>
    </row>
    <row r="17" spans="4:9" ht="12.75">
      <c r="D17" t="s">
        <v>9</v>
      </c>
      <c r="E17" t="s">
        <v>22</v>
      </c>
      <c r="F17" t="s">
        <v>23</v>
      </c>
      <c r="G17" t="s">
        <v>24</v>
      </c>
      <c r="H17" t="s">
        <v>25</v>
      </c>
      <c r="I17" t="s">
        <v>26</v>
      </c>
    </row>
    <row r="18" spans="1:4" ht="12.75">
      <c r="A18" s="1"/>
      <c r="B18" s="1"/>
      <c r="C18" s="4" t="s">
        <v>4</v>
      </c>
      <c r="D18" s="3"/>
    </row>
    <row r="19" spans="3:9" ht="12.75">
      <c r="C19" s="3" t="s">
        <v>58</v>
      </c>
      <c r="D19" s="2">
        <f>M8</f>
        <v>11946000</v>
      </c>
      <c r="E19" s="2">
        <f>D19*(1+E14/100)</f>
        <v>12304380</v>
      </c>
      <c r="F19" s="2">
        <f>E19*(1+F14/100)</f>
        <v>12673511.4</v>
      </c>
      <c r="G19" s="2">
        <f>F19*(1+G14/100)</f>
        <v>13053716.742</v>
      </c>
      <c r="H19" s="2">
        <f>G19*(1+H14/100)</f>
        <v>13445328.24426</v>
      </c>
      <c r="I19" s="2">
        <f>H19*(1+I14/100)</f>
        <v>13848688.0915878</v>
      </c>
    </row>
    <row r="20" spans="3:9" ht="12.75">
      <c r="C20" s="4" t="s">
        <v>3</v>
      </c>
      <c r="D20" s="5">
        <f aca="true" t="shared" si="0" ref="D20:I20">SUM(D19:D19)</f>
        <v>11946000</v>
      </c>
      <c r="E20" s="5">
        <f t="shared" si="0"/>
        <v>12304380</v>
      </c>
      <c r="F20" s="5">
        <f t="shared" si="0"/>
        <v>12673511.4</v>
      </c>
      <c r="G20" s="5">
        <f t="shared" si="0"/>
        <v>13053716.742</v>
      </c>
      <c r="H20" s="5">
        <f t="shared" si="0"/>
        <v>13445328.24426</v>
      </c>
      <c r="I20" s="5">
        <f t="shared" si="0"/>
        <v>13848688.0915878</v>
      </c>
    </row>
    <row r="21" spans="3:9" ht="12.75">
      <c r="C21" s="4" t="s">
        <v>19</v>
      </c>
      <c r="D21" s="5">
        <f aca="true" t="shared" si="1" ref="D21:I21">D20*D13/100</f>
        <v>1075140</v>
      </c>
      <c r="E21" s="5">
        <f t="shared" si="1"/>
        <v>1107394.2</v>
      </c>
      <c r="F21" s="5">
        <f t="shared" si="1"/>
        <v>1140616.026</v>
      </c>
      <c r="G21" s="5">
        <f t="shared" si="1"/>
        <v>1174834.50678</v>
      </c>
      <c r="H21" s="5">
        <f t="shared" si="1"/>
        <v>1210079.5419834</v>
      </c>
      <c r="I21" s="5">
        <f t="shared" si="1"/>
        <v>1246381.928242902</v>
      </c>
    </row>
    <row r="22" spans="3:9" ht="12.75">
      <c r="C22" s="4" t="s">
        <v>5</v>
      </c>
      <c r="D22" s="5">
        <f aca="true" t="shared" si="2" ref="D22:I22">D20-D21</f>
        <v>10870860</v>
      </c>
      <c r="E22" s="5">
        <f t="shared" si="2"/>
        <v>11196985.8</v>
      </c>
      <c r="F22" s="5">
        <f t="shared" si="2"/>
        <v>11532895.374</v>
      </c>
      <c r="G22" s="5">
        <f t="shared" si="2"/>
        <v>11878882.23522</v>
      </c>
      <c r="H22" s="5">
        <f t="shared" si="2"/>
        <v>12235248.7022766</v>
      </c>
      <c r="I22" s="5">
        <f t="shared" si="2"/>
        <v>12602306.1633449</v>
      </c>
    </row>
    <row r="23" ht="12.75">
      <c r="C23" s="4" t="s">
        <v>12</v>
      </c>
    </row>
    <row r="24" spans="3:9" ht="12.75">
      <c r="C24" s="6" t="s">
        <v>10</v>
      </c>
      <c r="D24" s="2">
        <f>M10</f>
        <v>810000</v>
      </c>
      <c r="E24" s="2">
        <f>D24*(1+E15/100)</f>
        <v>826200</v>
      </c>
      <c r="F24" s="2">
        <f>E24*(1+F15/100)</f>
        <v>842724</v>
      </c>
      <c r="G24" s="2">
        <f>F24*(1+G15/100)</f>
        <v>859578.48</v>
      </c>
      <c r="H24" s="2">
        <f>G24*(1+H15/100)</f>
        <v>876770.0496</v>
      </c>
      <c r="I24" s="2">
        <f>H24*(1+I15/100)</f>
        <v>894305.450592</v>
      </c>
    </row>
    <row r="25" spans="3:9" ht="12.75">
      <c r="C25" s="6"/>
      <c r="D25" s="2"/>
      <c r="E25" s="2"/>
      <c r="F25" s="2"/>
      <c r="G25" s="2"/>
      <c r="H25" s="2"/>
      <c r="I25" s="2"/>
    </row>
    <row r="26" spans="3:9" ht="12.75">
      <c r="C26" s="4" t="s">
        <v>11</v>
      </c>
      <c r="D26" s="5">
        <f aca="true" t="shared" si="3" ref="D26:I26">SUM(D24:D25)</f>
        <v>810000</v>
      </c>
      <c r="E26" s="5">
        <f t="shared" si="3"/>
        <v>826200</v>
      </c>
      <c r="F26" s="5">
        <f t="shared" si="3"/>
        <v>842724</v>
      </c>
      <c r="G26" s="5">
        <f t="shared" si="3"/>
        <v>859578.48</v>
      </c>
      <c r="H26" s="5">
        <f t="shared" si="3"/>
        <v>876770.0496</v>
      </c>
      <c r="I26" s="5">
        <f t="shared" si="3"/>
        <v>894305.450592</v>
      </c>
    </row>
    <row r="27" spans="3:10" ht="12.75">
      <c r="C27" s="4" t="s">
        <v>13</v>
      </c>
      <c r="D27" s="25">
        <f aca="true" t="shared" si="4" ref="D27:I27">D22-D26</f>
        <v>10060860</v>
      </c>
      <c r="E27" s="25">
        <f t="shared" si="4"/>
        <v>10370785.8</v>
      </c>
      <c r="F27" s="25">
        <f t="shared" si="4"/>
        <v>10690171.374</v>
      </c>
      <c r="G27" s="25">
        <f t="shared" si="4"/>
        <v>11019303.75522</v>
      </c>
      <c r="H27" s="25">
        <f t="shared" si="4"/>
        <v>11358478.652676601</v>
      </c>
      <c r="I27" s="25">
        <f t="shared" si="4"/>
        <v>11708000.7127529</v>
      </c>
      <c r="J27" s="29">
        <f>(I27-D27)/D27/6</f>
        <v>0.027286280906948627</v>
      </c>
    </row>
    <row r="28" spans="3:13" ht="12.75">
      <c r="C28" s="4" t="s">
        <v>18</v>
      </c>
      <c r="D28" s="16"/>
      <c r="H28" s="2">
        <f>D9</f>
        <v>139210984.08456194</v>
      </c>
      <c r="L28" s="3" t="s">
        <v>36</v>
      </c>
      <c r="M28" s="16">
        <f>D31+E31+F31+G31+H31</f>
        <v>131879975.68492198</v>
      </c>
    </row>
    <row r="29" spans="3:14" ht="12.75">
      <c r="C29" s="4" t="s">
        <v>34</v>
      </c>
      <c r="D29" s="5">
        <f>SUM(D27:D28)</f>
        <v>10060860</v>
      </c>
      <c r="E29" s="5">
        <f>SUM(E27:E28)</f>
        <v>10370785.8</v>
      </c>
      <c r="F29" s="5">
        <f>SUM(F27:F28)</f>
        <v>10690171.374</v>
      </c>
      <c r="G29" s="5">
        <f>SUM(G27:G28)</f>
        <v>11019303.75522</v>
      </c>
      <c r="H29" s="5">
        <f>SUM(H27:H28)</f>
        <v>150569462.73723856</v>
      </c>
      <c r="L29" s="3" t="s">
        <v>55</v>
      </c>
      <c r="M29" s="2">
        <f>M32/H7</f>
        <v>36436.46408839779</v>
      </c>
      <c r="N29" t="s">
        <v>53</v>
      </c>
    </row>
    <row r="30" spans="3:13" ht="12.75">
      <c r="C30" s="6" t="s">
        <v>16</v>
      </c>
      <c r="D30" s="15">
        <f>1/(1+D2/100)</f>
        <v>0.9174311926605504</v>
      </c>
      <c r="E30" s="15">
        <f>1/((1+D2/100)*(1+D2/100))</f>
        <v>0.84167999326656</v>
      </c>
      <c r="F30" s="15">
        <f>1/((1+D2/100)*(1+D2/100)*(1+D2/100))</f>
        <v>0.7721834800610642</v>
      </c>
      <c r="G30" s="15">
        <f>1/((1+D2/100)*(1+D2/100)*(1+D2/100)*(1+D2/100))</f>
        <v>0.7084252110651964</v>
      </c>
      <c r="H30" s="15">
        <f>1/((1+D2/100)*(1+D2/100)*(1+D2/100)*(1+D2/100)*(1+D2/100))</f>
        <v>0.6499313862983452</v>
      </c>
      <c r="I30" s="24"/>
      <c r="L30" s="3"/>
      <c r="M30" s="2"/>
    </row>
    <row r="31" spans="3:15" ht="12.75">
      <c r="C31" s="4" t="s">
        <v>35</v>
      </c>
      <c r="D31" s="5">
        <f>D29*D30</f>
        <v>9230146.788990825</v>
      </c>
      <c r="E31" s="5">
        <f>E29*E30</f>
        <v>8728882.922312936</v>
      </c>
      <c r="F31" s="5">
        <f>F29*F30</f>
        <v>8254773.734024488</v>
      </c>
      <c r="G31" s="5">
        <f>G29*G30</f>
        <v>7806352.588583239</v>
      </c>
      <c r="H31" s="5">
        <f>H29*H30</f>
        <v>97859819.65101048</v>
      </c>
      <c r="L31" s="4"/>
      <c r="M31" s="5"/>
      <c r="N31" s="5"/>
      <c r="O31" s="26"/>
    </row>
    <row r="32" spans="12:14" ht="12.75">
      <c r="L32" s="47" t="s">
        <v>52</v>
      </c>
      <c r="M32" s="46">
        <f>ROUND(M28,-N32)</f>
        <v>131900000</v>
      </c>
      <c r="N32">
        <v>5</v>
      </c>
    </row>
    <row r="33" ht="12.75">
      <c r="O33" s="2"/>
    </row>
    <row r="34" spans="3:4" ht="12.75">
      <c r="C34" s="4"/>
      <c r="D34" s="5"/>
    </row>
    <row r="35" spans="3:12" ht="12.75">
      <c r="C35" s="4"/>
      <c r="D35" s="5"/>
      <c r="E35" s="5"/>
      <c r="F35" s="5"/>
      <c r="G35" s="5"/>
      <c r="H35" s="5"/>
      <c r="L35" s="48"/>
    </row>
    <row r="36" spans="3:8" ht="12.75">
      <c r="C36" s="4"/>
      <c r="D36" s="5"/>
      <c r="E36" s="27"/>
      <c r="F36" s="5"/>
      <c r="G36" s="5"/>
      <c r="H36" s="5"/>
    </row>
    <row r="39" ht="12.75">
      <c r="C39" s="3"/>
    </row>
    <row r="40" ht="12.75">
      <c r="C40" s="3"/>
    </row>
    <row r="41" spans="3:4" ht="12.75">
      <c r="C41" s="3"/>
      <c r="D41" s="14"/>
    </row>
    <row r="42" spans="3:4" ht="12.75">
      <c r="C42" s="3"/>
      <c r="D42" s="14"/>
    </row>
    <row r="43" spans="1:9" ht="12.75">
      <c r="A43" s="5"/>
      <c r="B43" s="2"/>
      <c r="C43" s="17"/>
      <c r="D43" s="10"/>
      <c r="E43" s="2"/>
      <c r="F43" s="2"/>
      <c r="G43" s="2"/>
      <c r="H43" s="2"/>
      <c r="I43" s="2"/>
    </row>
    <row r="44" spans="1:9" s="22" customFormat="1" ht="12.75" customHeight="1">
      <c r="A44" s="19"/>
      <c r="B44" s="19"/>
      <c r="C44" s="20"/>
      <c r="D44" s="21"/>
      <c r="E44" s="19"/>
      <c r="F44" s="19"/>
      <c r="G44" s="19"/>
      <c r="H44" s="19"/>
      <c r="I44" s="19"/>
    </row>
    <row r="45" spans="1:9" ht="12.75">
      <c r="A45" s="2"/>
      <c r="B45" s="10"/>
      <c r="C45" s="2"/>
      <c r="D45" s="2"/>
      <c r="E45" s="2"/>
      <c r="F45" s="2"/>
      <c r="G45" s="2"/>
      <c r="H45" s="2"/>
      <c r="I45" s="2"/>
    </row>
    <row r="46" spans="1:9" ht="12.75">
      <c r="A46" s="2"/>
      <c r="B46" s="13"/>
      <c r="C46" s="2"/>
      <c r="D46" s="2"/>
      <c r="E46" s="2"/>
      <c r="F46" s="2"/>
      <c r="G46" s="2"/>
      <c r="H46" s="2"/>
      <c r="I46" s="2"/>
    </row>
    <row r="47" spans="1:9" ht="12.75">
      <c r="A47" s="2"/>
      <c r="B47" s="10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5"/>
      <c r="B49" s="5"/>
      <c r="C49" s="5"/>
      <c r="D49" s="5"/>
      <c r="E49" s="5"/>
      <c r="F49" s="5"/>
      <c r="G49" s="5"/>
      <c r="H49" s="7"/>
      <c r="I49" s="7"/>
    </row>
    <row r="50" spans="1:9" ht="12.75">
      <c r="A50" s="2"/>
      <c r="B50" s="8"/>
      <c r="C50" s="2"/>
      <c r="D50" s="2"/>
      <c r="E50" s="2"/>
      <c r="F50" s="2"/>
      <c r="G50" s="2"/>
      <c r="H50" s="2"/>
      <c r="I50" s="2"/>
    </row>
    <row r="51" spans="1:9" ht="12.75">
      <c r="A51" s="2"/>
      <c r="B51" s="8"/>
      <c r="C51" s="2"/>
      <c r="D51" s="2"/>
      <c r="E51" s="2"/>
      <c r="F51" s="2"/>
      <c r="G51" s="2"/>
      <c r="H51" s="2"/>
      <c r="I51" s="2"/>
    </row>
    <row r="52" spans="1:9" ht="12.75">
      <c r="A52" s="2"/>
      <c r="B52" s="8"/>
      <c r="C52" s="2"/>
      <c r="D52" s="2"/>
      <c r="E52" s="2"/>
      <c r="F52" s="2"/>
      <c r="G52" s="2"/>
      <c r="H52" s="2"/>
      <c r="I52" s="2"/>
    </row>
    <row r="53" spans="1:9" ht="12.75">
      <c r="A53" s="2"/>
      <c r="B53" s="8"/>
      <c r="C53" s="2"/>
      <c r="D53" s="2"/>
      <c r="E53" s="2"/>
      <c r="F53" s="2"/>
      <c r="G53" s="2"/>
      <c r="H53" s="2"/>
      <c r="I53" s="2"/>
    </row>
    <row r="54" spans="1:9" ht="12.75">
      <c r="A54" s="2"/>
      <c r="B54" s="8"/>
      <c r="C54" s="2"/>
      <c r="D54" s="2"/>
      <c r="E54" s="2"/>
      <c r="F54" s="2"/>
      <c r="G54" s="2"/>
      <c r="H54" s="2"/>
      <c r="I54" s="2"/>
    </row>
    <row r="55" spans="1:9" ht="12.75">
      <c r="A55" s="2"/>
      <c r="B55" s="8"/>
      <c r="C55" s="2"/>
      <c r="D55" s="2"/>
      <c r="E55" s="2"/>
      <c r="F55" s="2"/>
      <c r="G55" s="2"/>
      <c r="H55" s="2"/>
      <c r="I55" s="2"/>
    </row>
    <row r="56" spans="1:9" ht="12.75">
      <c r="A56" s="2"/>
      <c r="B56" s="8"/>
      <c r="C56" s="2"/>
      <c r="D56" s="2"/>
      <c r="E56" s="2"/>
      <c r="F56" s="2"/>
      <c r="G56" s="2"/>
      <c r="H56" s="2"/>
      <c r="I56" s="2"/>
    </row>
    <row r="57" spans="1:9" ht="12.75">
      <c r="A57" s="2"/>
      <c r="B57" s="8"/>
      <c r="C57" s="2"/>
      <c r="D57" s="2"/>
      <c r="E57" s="2"/>
      <c r="F57" s="2"/>
      <c r="G57" s="2"/>
      <c r="H57" s="2"/>
      <c r="I57" s="2"/>
    </row>
    <row r="58" spans="1:9" ht="12.75">
      <c r="A58" s="2"/>
      <c r="B58" s="8"/>
      <c r="C58" s="2"/>
      <c r="D58" s="2"/>
      <c r="E58" s="2"/>
      <c r="F58" s="2"/>
      <c r="G58" s="2"/>
      <c r="H58" s="2"/>
      <c r="I58" s="2"/>
    </row>
    <row r="59" spans="1:9" ht="12.75">
      <c r="A59" s="5"/>
      <c r="B59" s="8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5"/>
      <c r="B71" s="8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5"/>
      <c r="B83" s="8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5"/>
      <c r="B95" s="8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5"/>
      <c r="B107" s="8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5"/>
      <c r="B119" s="8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5"/>
      <c r="B131" s="8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5"/>
      <c r="B143" s="8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9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9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9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9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9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9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9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9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9"/>
      <c r="I154" s="2"/>
    </row>
    <row r="155" spans="1:9" ht="12.75">
      <c r="A155" s="5"/>
      <c r="B155" s="8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9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9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9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9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9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9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9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9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9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9"/>
      <c r="I166" s="2"/>
    </row>
    <row r="167" spans="1:9" ht="12.75">
      <c r="A167" s="2"/>
      <c r="B167" s="8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9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9"/>
      <c r="H170" s="9"/>
      <c r="I170" s="2"/>
    </row>
    <row r="171" spans="1:9" ht="12.75">
      <c r="A171" s="2"/>
      <c r="B171" s="2"/>
      <c r="C171" s="2"/>
      <c r="D171" s="2"/>
      <c r="E171" s="2"/>
      <c r="F171" s="2"/>
      <c r="G171" s="9"/>
      <c r="H171" s="9"/>
      <c r="I171" s="2"/>
    </row>
    <row r="172" spans="1:9" ht="12.75">
      <c r="A172" s="2"/>
      <c r="B172" s="2"/>
      <c r="C172" s="2"/>
      <c r="D172" s="2"/>
      <c r="E172" s="2"/>
      <c r="F172" s="2"/>
      <c r="G172" s="9"/>
      <c r="H172" s="9"/>
      <c r="I172" s="2"/>
    </row>
    <row r="173" spans="1:9" ht="12.75">
      <c r="A173" s="2"/>
      <c r="B173" s="2"/>
      <c r="C173" s="2"/>
      <c r="D173" s="2"/>
      <c r="E173" s="2"/>
      <c r="F173" s="2"/>
      <c r="G173" s="9"/>
      <c r="H173" s="9"/>
      <c r="I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0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7.421875" style="38" customWidth="1"/>
    <col min="2" max="7" width="9.00390625" style="38" customWidth="1"/>
    <col min="8" max="8" width="26.28125" style="38" bestFit="1" customWidth="1"/>
    <col min="9" max="9" width="11.140625" style="38" bestFit="1" customWidth="1"/>
    <col min="10" max="16384" width="9.140625" style="38" customWidth="1"/>
  </cols>
  <sheetData>
    <row r="4" spans="1:7" s="30" customFormat="1" ht="12.75">
      <c r="A4" s="40" t="s">
        <v>37</v>
      </c>
      <c r="B4" s="41" t="s">
        <v>9</v>
      </c>
      <c r="C4" s="41" t="s">
        <v>22</v>
      </c>
      <c r="D4" s="41" t="s">
        <v>23</v>
      </c>
      <c r="E4" s="41" t="s">
        <v>24</v>
      </c>
      <c r="F4" s="41" t="s">
        <v>25</v>
      </c>
      <c r="G4" s="41" t="s">
        <v>26</v>
      </c>
    </row>
    <row r="5" spans="1:7" s="30" customFormat="1" ht="12.75">
      <c r="A5" s="40" t="s">
        <v>38</v>
      </c>
      <c r="B5" s="41">
        <f>Rahavoog!D14</f>
        <v>3</v>
      </c>
      <c r="C5" s="41">
        <f>Rahavoog!E14</f>
        <v>3</v>
      </c>
      <c r="D5" s="41">
        <f>Rahavoog!F14</f>
        <v>3</v>
      </c>
      <c r="E5" s="41">
        <f>Rahavoog!G14</f>
        <v>3</v>
      </c>
      <c r="F5" s="41">
        <f>Rahavoog!H14</f>
        <v>3</v>
      </c>
      <c r="G5" s="41">
        <f>Rahavoog!I14</f>
        <v>3</v>
      </c>
    </row>
    <row r="6" spans="1:7" s="30" customFormat="1" ht="12.75">
      <c r="A6" s="40" t="s">
        <v>39</v>
      </c>
      <c r="B6" s="42">
        <f>Rahavoog!D20</f>
        <v>11946000</v>
      </c>
      <c r="C6" s="42">
        <f>Rahavoog!E20</f>
        <v>12304380</v>
      </c>
      <c r="D6" s="42">
        <f>Rahavoog!F20</f>
        <v>12673511.4</v>
      </c>
      <c r="E6" s="42">
        <f>Rahavoog!G20</f>
        <v>13053716.742</v>
      </c>
      <c r="F6" s="42">
        <f>Rahavoog!H20</f>
        <v>13445328.24426</v>
      </c>
      <c r="G6" s="42">
        <f>Rahavoog!I20</f>
        <v>13848688.0915878</v>
      </c>
    </row>
    <row r="7" spans="1:7" s="30" customFormat="1" ht="12.75">
      <c r="A7" s="40" t="s">
        <v>40</v>
      </c>
      <c r="B7" s="44">
        <f>Rahavoog!D13</f>
        <v>9</v>
      </c>
      <c r="C7" s="44">
        <f>Rahavoog!E13</f>
        <v>9</v>
      </c>
      <c r="D7" s="44">
        <f>Rahavoog!F13</f>
        <v>9</v>
      </c>
      <c r="E7" s="44">
        <f>Rahavoog!G13</f>
        <v>9</v>
      </c>
      <c r="F7" s="44">
        <f>Rahavoog!H13</f>
        <v>9</v>
      </c>
      <c r="G7" s="44">
        <f>Rahavoog!I13</f>
        <v>9</v>
      </c>
    </row>
    <row r="8" spans="1:7" s="30" customFormat="1" ht="12.75">
      <c r="A8" s="40" t="s">
        <v>41</v>
      </c>
      <c r="B8" s="42">
        <f>Rahavoog!D21</f>
        <v>1075140</v>
      </c>
      <c r="C8" s="42">
        <f>Rahavoog!E21</f>
        <v>1107394.2</v>
      </c>
      <c r="D8" s="42">
        <f>Rahavoog!F21</f>
        <v>1140616.026</v>
      </c>
      <c r="E8" s="42">
        <f>Rahavoog!G21</f>
        <v>1174834.50678</v>
      </c>
      <c r="F8" s="42">
        <f>Rahavoog!H21</f>
        <v>1210079.5419834</v>
      </c>
      <c r="G8" s="42">
        <f>Rahavoog!I21</f>
        <v>1246381.928242902</v>
      </c>
    </row>
    <row r="9" spans="1:7" s="30" customFormat="1" ht="12.75">
      <c r="A9" s="40" t="s">
        <v>42</v>
      </c>
      <c r="B9" s="42">
        <f>Rahavoog!D22</f>
        <v>10870860</v>
      </c>
      <c r="C9" s="42">
        <f>Rahavoog!E22</f>
        <v>11196985.8</v>
      </c>
      <c r="D9" s="42">
        <f>Rahavoog!F22</f>
        <v>11532895.374</v>
      </c>
      <c r="E9" s="42">
        <f>Rahavoog!G22</f>
        <v>11878882.23522</v>
      </c>
      <c r="F9" s="42">
        <f>Rahavoog!H22</f>
        <v>12235248.7022766</v>
      </c>
      <c r="G9" s="42">
        <f>Rahavoog!I22</f>
        <v>12602306.1633449</v>
      </c>
    </row>
    <row r="10" spans="1:7" s="30" customFormat="1" ht="12.75">
      <c r="A10" s="40" t="s">
        <v>43</v>
      </c>
      <c r="B10" s="41">
        <f>Rahavoog!D15</f>
        <v>2</v>
      </c>
      <c r="C10" s="41">
        <f>Rahavoog!E15</f>
        <v>2</v>
      </c>
      <c r="D10" s="41">
        <f>Rahavoog!F15</f>
        <v>2</v>
      </c>
      <c r="E10" s="41">
        <f>Rahavoog!G15</f>
        <v>2</v>
      </c>
      <c r="F10" s="41">
        <f>Rahavoog!H15</f>
        <v>2</v>
      </c>
      <c r="G10" s="41">
        <f>Rahavoog!I15</f>
        <v>2</v>
      </c>
    </row>
    <row r="11" spans="1:7" s="30" customFormat="1" ht="12.75">
      <c r="A11" s="40" t="s">
        <v>44</v>
      </c>
      <c r="B11" s="42">
        <f>Rahavoog!D24+Rahavoog!D25</f>
        <v>810000</v>
      </c>
      <c r="C11" s="42">
        <f>Rahavoog!E24+Rahavoog!E25</f>
        <v>826200</v>
      </c>
      <c r="D11" s="42">
        <f>Rahavoog!F24+Rahavoog!F25</f>
        <v>842724</v>
      </c>
      <c r="E11" s="42">
        <f>Rahavoog!G24+Rahavoog!G25</f>
        <v>859578.48</v>
      </c>
      <c r="F11" s="42">
        <f>Rahavoog!H24+Rahavoog!H25</f>
        <v>876770.0496</v>
      </c>
      <c r="G11" s="42">
        <f>Rahavoog!I24+Rahavoog!I25</f>
        <v>894305.450592</v>
      </c>
    </row>
    <row r="12" spans="1:7" s="30" customFormat="1" ht="12.75">
      <c r="A12" s="40" t="s">
        <v>45</v>
      </c>
      <c r="B12" s="42">
        <f>Rahavoog!D27</f>
        <v>10060860</v>
      </c>
      <c r="C12" s="42">
        <f>Rahavoog!E27</f>
        <v>10370785.8</v>
      </c>
      <c r="D12" s="42">
        <f>Rahavoog!F27</f>
        <v>10690171.374</v>
      </c>
      <c r="E12" s="42">
        <f>Rahavoog!G27</f>
        <v>11019303.75522</v>
      </c>
      <c r="F12" s="42">
        <f>Rahavoog!H27</f>
        <v>11358478.652676601</v>
      </c>
      <c r="G12" s="42">
        <f>Rahavoog!I27</f>
        <v>11708000.7127529</v>
      </c>
    </row>
    <row r="13" spans="1:7" s="30" customFormat="1" ht="12.75">
      <c r="A13" s="40"/>
      <c r="B13" s="41"/>
      <c r="C13" s="41"/>
      <c r="D13" s="41"/>
      <c r="E13" s="41"/>
      <c r="F13" s="41"/>
      <c r="G13" s="41"/>
    </row>
    <row r="14" spans="1:7" s="30" customFormat="1" ht="12.75">
      <c r="A14" s="40" t="s">
        <v>16</v>
      </c>
      <c r="B14" s="43">
        <f>Rahavoog!D30</f>
        <v>0.9174311926605504</v>
      </c>
      <c r="C14" s="43">
        <f>Rahavoog!E30</f>
        <v>0.84167999326656</v>
      </c>
      <c r="D14" s="43">
        <f>Rahavoog!F30</f>
        <v>0.7721834800610642</v>
      </c>
      <c r="E14" s="43">
        <f>Rahavoog!G30</f>
        <v>0.7084252110651964</v>
      </c>
      <c r="F14" s="43">
        <f>Rahavoog!H30</f>
        <v>0.6499313862983452</v>
      </c>
      <c r="G14" s="41"/>
    </row>
    <row r="15" spans="1:7" s="30" customFormat="1" ht="12.75">
      <c r="A15" s="40" t="s">
        <v>46</v>
      </c>
      <c r="B15" s="42">
        <f>Rahavoog!D31</f>
        <v>9230146.788990825</v>
      </c>
      <c r="C15" s="42">
        <f>Rahavoog!E31</f>
        <v>8728882.922312936</v>
      </c>
      <c r="D15" s="42">
        <f>Rahavoog!F31</f>
        <v>8254773.734024488</v>
      </c>
      <c r="E15" s="42">
        <f>Rahavoog!G31</f>
        <v>7806352.588583239</v>
      </c>
      <c r="F15" s="42">
        <f>F12*F14</f>
        <v>7382231.776974264</v>
      </c>
      <c r="G15" s="42"/>
    </row>
    <row r="18" spans="8:9" s="30" customFormat="1" ht="15.75">
      <c r="H18" s="31" t="s">
        <v>59</v>
      </c>
      <c r="I18" s="32">
        <f>G12</f>
        <v>11708000.7127529</v>
      </c>
    </row>
    <row r="19" spans="8:9" s="30" customFormat="1" ht="12.75">
      <c r="H19" s="33" t="s">
        <v>47</v>
      </c>
      <c r="I19" s="34">
        <f>Rahavoog!D6</f>
        <v>8.2</v>
      </c>
    </row>
    <row r="20" spans="8:9" s="30" customFormat="1" ht="12.75">
      <c r="H20" s="33" t="s">
        <v>48</v>
      </c>
      <c r="I20" s="32">
        <f>I18/I19*100</f>
        <v>142780496.4969866</v>
      </c>
    </row>
    <row r="21" spans="8:9" s="30" customFormat="1" ht="12.75">
      <c r="H21" s="33" t="s">
        <v>49</v>
      </c>
      <c r="I21" s="32">
        <f>Rahavoog!D8</f>
        <v>3569512.412424665</v>
      </c>
    </row>
    <row r="22" spans="8:9" s="30" customFormat="1" ht="12.75">
      <c r="H22" s="33" t="s">
        <v>50</v>
      </c>
      <c r="I22" s="32">
        <f>I20-I21</f>
        <v>139210984.08456194</v>
      </c>
    </row>
    <row r="23" spans="8:9" s="30" customFormat="1" ht="12.75">
      <c r="H23" s="33" t="s">
        <v>16</v>
      </c>
      <c r="I23" s="35">
        <f>Rahavoog!H30</f>
        <v>0.6499313862983452</v>
      </c>
    </row>
    <row r="24" spans="8:9" s="30" customFormat="1" ht="12.75">
      <c r="H24" s="33" t="s">
        <v>51</v>
      </c>
      <c r="I24" s="32">
        <f>I22*I23</f>
        <v>90477587.87403622</v>
      </c>
    </row>
    <row r="30" spans="8:9" ht="12.75">
      <c r="H30" s="36" t="s">
        <v>52</v>
      </c>
      <c r="I30" s="37">
        <f>I24+B15+C15+D15+E15+F15</f>
        <v>131879975.68492198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Uus 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Vahter</dc:creator>
  <cp:keywords/>
  <dc:description/>
  <cp:lastModifiedBy>Andres Hall</cp:lastModifiedBy>
  <dcterms:created xsi:type="dcterms:W3CDTF">2002-02-12T09:47:30Z</dcterms:created>
  <dcterms:modified xsi:type="dcterms:W3CDTF">2009-12-02T14:59:53Z</dcterms:modified>
  <cp:category/>
  <cp:version/>
  <cp:contentType/>
  <cp:contentStatus/>
</cp:coreProperties>
</file>